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0" windowWidth="22420" windowHeight="15620" tabRatio="1000" activeTab="0"/>
  </bookViews>
  <sheets>
    <sheet name="Hinode_alignment_trend_by_Shimi" sheetId="1" r:id="rId1"/>
    <sheet name="Absolute" sheetId="2" r:id="rId2"/>
    <sheet name="Non-eclipse trend" sheetId="3" r:id="rId3"/>
  </sheets>
  <definedNames/>
  <calcPr fullCalcOnLoad="1"/>
</workbook>
</file>

<file path=xl/sharedStrings.xml><?xml version="1.0" encoding="utf-8"?>
<sst xmlns="http://schemas.openxmlformats.org/spreadsheetml/2006/main" count="659" uniqueCount="163">
  <si>
    <t>rough value</t>
  </si>
  <si>
    <t xml:space="preserve"> (960, 90) West limb</t>
  </si>
  <si>
    <t>Positive - directing to N</t>
  </si>
  <si>
    <t>Pisitive value -</t>
  </si>
  <si>
    <t xml:space="preserve">   directing to east</t>
  </si>
  <si>
    <t>N/A</t>
  </si>
  <si>
    <t xml:space="preserve"> </t>
  </si>
  <si>
    <t>Coarse mirror moved in January 2007</t>
  </si>
  <si>
    <t>West</t>
  </si>
  <si>
    <t>CTM-TM 11.5arcsec tilted</t>
  </si>
  <si>
    <t>No VLS</t>
  </si>
  <si>
    <t>CT on</t>
  </si>
  <si>
    <t>Wrong frm</t>
  </si>
  <si>
    <t>Eclipse period</t>
  </si>
  <si>
    <t>Eclipse period</t>
  </si>
  <si>
    <t>UFSS_B only used for AOCS control: 27 Aug - 25 Sep</t>
  </si>
  <si>
    <t>AOCSプレートスケールは一致</t>
  </si>
  <si>
    <t>SOT FOVはS/Cポインティング位置に対して西に位置</t>
  </si>
  <si>
    <t>太陽上ターゲットはBFI FOVのセンターから1.2"だけ北に位置</t>
  </si>
  <si>
    <t xml:space="preserve"> </t>
  </si>
  <si>
    <t>(=1.032as)</t>
  </si>
  <si>
    <t xml:space="preserve">  Y</t>
  </si>
  <si>
    <t xml:space="preserve">    Y</t>
  </si>
  <si>
    <t>East pointing (-945 arcsec)</t>
  </si>
  <si>
    <t>When having a disk Center pointing, the position of the Sun on the CCDs</t>
  </si>
  <si>
    <t>Eclipse period</t>
  </si>
  <si>
    <t>Eclipse period</t>
  </si>
  <si>
    <t>Fmirr degree EW</t>
  </si>
  <si>
    <t>CCD start Row NS</t>
  </si>
  <si>
    <t>CCD start Row EW</t>
  </si>
  <si>
    <t>Paramenters of EIS alignment images</t>
  </si>
  <si>
    <t>Parameters used in limb fitting</t>
  </si>
  <si>
    <t>Y pos. for EW fitting</t>
  </si>
  <si>
    <t>NS range used for limb fitting</t>
  </si>
  <si>
    <t>EW range used for limb fitting</t>
  </si>
  <si>
    <t>Fmirr value NS</t>
  </si>
  <si>
    <t>step</t>
  </si>
  <si>
    <t>146pix: HeII position from the left edge of HeII 266 slot frame</t>
  </si>
  <si>
    <t>(=1.032as)</t>
  </si>
  <si>
    <t>(=1pixel/arcsec)</t>
  </si>
  <si>
    <t>HeII 256.31 position inferred from limb edge formed by Fe X 257.26</t>
  </si>
  <si>
    <t>330~350</t>
  </si>
  <si>
    <t>335~355</t>
  </si>
  <si>
    <t>335~355</t>
  </si>
  <si>
    <t>Dr. Imada: Sun Center position in EIS alignment images</t>
  </si>
  <si>
    <t>origin at the lower left of alignment images</t>
  </si>
  <si>
    <t>Ref:</t>
  </si>
  <si>
    <t>(=1pixel/0.996arcsec)</t>
  </si>
  <si>
    <t>Original data</t>
  </si>
  <si>
    <t>pixel</t>
  </si>
  <si>
    <t>SOT FOVは太陽上ターゲットに対して北に位置</t>
  </si>
  <si>
    <t>太陽上ターゲットはBFI FOVセンターから8.2"だけ東に位置</t>
  </si>
  <si>
    <t>Eclipse period</t>
  </si>
  <si>
    <t>310~330</t>
  </si>
  <si>
    <t>0~50</t>
  </si>
  <si>
    <t>305~325</t>
  </si>
  <si>
    <t>305~325</t>
  </si>
  <si>
    <t>60~110</t>
  </si>
  <si>
    <t>60~110</t>
  </si>
  <si>
    <t>SOT FOV center relative to S/C pointing</t>
  </si>
  <si>
    <t>N-S</t>
  </si>
  <si>
    <t>E-W</t>
  </si>
  <si>
    <t>UFSS signal address at AOL=0</t>
  </si>
  <si>
    <t>FMIR corrected</t>
  </si>
  <si>
    <t>Pointing (945 vs 930) corrected</t>
  </si>
  <si>
    <t>Sun center position from EIS origin (Final)</t>
  </si>
  <si>
    <t>SOT BFI center - XRT CCD center</t>
  </si>
  <si>
    <t>EIS FOV center - XRT X-ray FOV center</t>
  </si>
  <si>
    <t>EIS FOV center - SOT BFI FOV center</t>
  </si>
  <si>
    <t xml:space="preserve">   XANG</t>
  </si>
  <si>
    <t xml:space="preserve">   YANG</t>
  </si>
  <si>
    <t>ATT_Y</t>
  </si>
  <si>
    <t>pixel</t>
  </si>
  <si>
    <t>XRT</t>
  </si>
  <si>
    <t>Eclipse period</t>
  </si>
  <si>
    <t>930arcsec offset</t>
  </si>
  <si>
    <t>Eclipse period</t>
  </si>
  <si>
    <t>No</t>
  </si>
  <si>
    <t>N/E/W/S pointings</t>
  </si>
  <si>
    <t>(BFI center - XRT CCD center)</t>
  </si>
  <si>
    <t>N-limb</t>
  </si>
  <si>
    <t>UFSS-A</t>
  </si>
  <si>
    <t>UFSS-B</t>
  </si>
  <si>
    <t>arcsec</t>
  </si>
  <si>
    <t>N-S</t>
  </si>
  <si>
    <t>SOT</t>
  </si>
  <si>
    <t>E-W</t>
  </si>
  <si>
    <t>Mercury data</t>
  </si>
  <si>
    <t>N/A</t>
  </si>
  <si>
    <t>NS</t>
  </si>
  <si>
    <t>Sunspot position</t>
  </si>
  <si>
    <t>EW</t>
  </si>
  <si>
    <t>NS</t>
  </si>
  <si>
    <t>EW</t>
  </si>
  <si>
    <t>Matching error</t>
  </si>
  <si>
    <t>Out of eclipse period</t>
  </si>
  <si>
    <t>Original data</t>
  </si>
  <si>
    <t>Pointing (945 vs 930)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</si>
  <si>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</si>
  <si>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</si>
  <si>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</si>
  <si>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</si>
  <si>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</si>
  <si>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</si>
  <si>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</si>
  <si>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</si>
  <si>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</si>
  <si>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 xml:space="preserve">   Y</t>
  </si>
  <si>
    <t xml:space="preserve">   X</t>
  </si>
  <si>
    <t>West pointing (945 arcsec)</t>
  </si>
  <si>
    <t>South pointing (-945 arcsec)</t>
  </si>
  <si>
    <t>North pointing (945 arcsec)</t>
  </si>
  <si>
    <t>SOT CLU heater OFF on 1 Apr</t>
  </si>
  <si>
    <t>SOT CLU heater ON on 13 May</t>
  </si>
  <si>
    <t>XRT</t>
  </si>
  <si>
    <t>SOT</t>
  </si>
  <si>
    <t>solar disk radius</t>
  </si>
  <si>
    <t>SOT - radius corrected (disk center)</t>
  </si>
  <si>
    <t>XRT op heater off on 23 Oct</t>
  </si>
  <si>
    <t>offset determined from</t>
  </si>
  <si>
    <t xml:space="preserve"> 4 limb positions</t>
  </si>
  <si>
    <t>Eclipse period</t>
  </si>
  <si>
    <t>Eclipse period</t>
  </si>
  <si>
    <t>Eclipse period</t>
  </si>
  <si>
    <t>(1FMIRR= 0.24arcsec)</t>
  </si>
  <si>
    <t xml:space="preserve">Origin at HeII 256.31 position </t>
  </si>
  <si>
    <t>E-limb</t>
  </si>
  <si>
    <t xml:space="preserve">  UFSS-A</t>
  </si>
  <si>
    <t xml:space="preserve">  UFSS-B</t>
  </si>
  <si>
    <t>arcsec</t>
  </si>
  <si>
    <t>(arcsec)</t>
  </si>
  <si>
    <t>ATT_X</t>
  </si>
  <si>
    <t>Note: See "Non-eclipse sheet" for +2.5 reason</t>
  </si>
  <si>
    <t>290~310</t>
  </si>
  <si>
    <t>40~90</t>
  </si>
  <si>
    <t>260~280</t>
  </si>
  <si>
    <t>250~270</t>
  </si>
  <si>
    <t>265~285</t>
  </si>
  <si>
    <t>270~290</t>
  </si>
  <si>
    <t>Sun center position from EIS origin</t>
  </si>
  <si>
    <t>origin at 512pix height</t>
  </si>
  <si>
    <t>太陽視半径</t>
  </si>
  <si>
    <t>30~80</t>
  </si>
  <si>
    <t>30~80</t>
  </si>
  <si>
    <t>335~365</t>
  </si>
  <si>
    <t>340~360</t>
  </si>
  <si>
    <t>255~275</t>
  </si>
  <si>
    <t>270~290</t>
  </si>
  <si>
    <t>285~305</t>
  </si>
  <si>
    <t>DC offset used</t>
  </si>
  <si>
    <t xml:space="preserve">  X</t>
  </si>
  <si>
    <t>310~330</t>
  </si>
  <si>
    <t>70~120</t>
  </si>
  <si>
    <t>70~120</t>
  </si>
  <si>
    <t>315~335</t>
  </si>
  <si>
    <t>320~340</t>
  </si>
  <si>
    <t>320~340</t>
  </si>
  <si>
    <t>50~100</t>
  </si>
  <si>
    <t>50~100</t>
  </si>
  <si>
    <t>Fmirr degree NS</t>
  </si>
  <si>
    <t>Fmirr value EW</t>
  </si>
  <si>
    <t>Eclipse period</t>
  </si>
  <si>
    <t>Eclipse period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</si>
</sst>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"/>
    <numFmt numFmtId="178" formatCode="0.000_);[Red]\(0.000\)"/>
    <numFmt numFmtId="179" formatCode="d/mmm"/>
  </numFmts>
  <fonts count="64">
    <font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"/>
      <color indexed="8"/>
      <name val="ＭＳ Ｐゴシック"/>
      <family val="0"/>
    </font>
    <font>
      <sz val="10.25"/>
      <color indexed="8"/>
      <name val="ＭＳ Ｐゴシック"/>
      <family val="0"/>
    </font>
    <font>
      <sz val="12"/>
      <color indexed="8"/>
      <name val="ＭＳ Ｐゴシック"/>
      <family val="0"/>
    </font>
    <font>
      <sz val="15.5"/>
      <color indexed="8"/>
      <name val="ＭＳ Ｐゴシック"/>
      <family val="0"/>
    </font>
    <font>
      <sz val="11"/>
      <color indexed="8"/>
      <name val="ＭＳ Ｐゴシック"/>
      <family val="0"/>
    </font>
    <font>
      <sz val="11.75"/>
      <color indexed="8"/>
      <name val="ＭＳ Ｐゴシック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5.75"/>
      <color indexed="8"/>
      <name val="ＭＳ Ｐゴシック"/>
      <family val="0"/>
    </font>
    <font>
      <sz val="11.5"/>
      <color indexed="8"/>
      <name val="ＭＳ Ｐゴシック"/>
      <family val="0"/>
    </font>
    <font>
      <sz val="11.5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ＭＳ Ｐゴシック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4.25"/>
      <color indexed="8"/>
      <name val="ＭＳ Ｐゴシック"/>
      <family val="0"/>
    </font>
    <font>
      <sz val="14"/>
      <color indexed="8"/>
      <name val="ＭＳ Ｐゴシック"/>
      <family val="0"/>
    </font>
    <font>
      <sz val="15"/>
      <color indexed="8"/>
      <name val="ＭＳ Ｐゴシック"/>
      <family val="0"/>
    </font>
    <font>
      <sz val="14.5"/>
      <color indexed="8"/>
      <name val="ＭＳ Ｐゴシック"/>
      <family val="0"/>
    </font>
    <font>
      <sz val="15.25"/>
      <color indexed="8"/>
      <name val="ＭＳ Ｐゴシック"/>
      <family val="0"/>
    </font>
    <font>
      <sz val="12"/>
      <color indexed="8"/>
      <name val="Arial"/>
      <family val="0"/>
    </font>
    <font>
      <sz val="10.5"/>
      <color indexed="8"/>
      <name val="ＭＳ Ｐゴシック"/>
      <family val="0"/>
    </font>
    <font>
      <sz val="10.75"/>
      <color indexed="8"/>
      <name val="ＭＳ Ｐゴシック"/>
      <family val="0"/>
    </font>
    <font>
      <sz val="13.75"/>
      <color indexed="8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3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 quotePrefix="1">
      <alignment horizontal="right"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N-S</a:t>
            </a:r>
          </a:p>
        </c:rich>
      </c:tx>
      <c:layout>
        <c:manualLayout>
          <c:xMode val="factor"/>
          <c:yMode val="factor"/>
          <c:x val="0.008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4025"/>
          <c:w val="0.9367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XRT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Hinode_alignment_trend_by_Shimi!$L$13:$L$238</c:f>
              <c:numCache/>
            </c:numRef>
          </c:yVal>
          <c:smooth val="0"/>
        </c:ser>
        <c:ser>
          <c:idx val="1"/>
          <c:order val="1"/>
          <c:tx>
            <c:v>XRT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Hinode_alignment_trend_by_Shimi!$M$13:$M$238</c:f>
              <c:numCache/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60"/>
        <c:crossBetween val="midCat"/>
        <c:dispUnits/>
      </c:valAx>
      <c:valAx>
        <c:axId val="5006648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8910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83675"/>
          <c:w val="0.233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YANG (E-W) at AOL=0</a:t>
            </a:r>
          </a:p>
        </c:rich>
      </c:tx>
      <c:layout>
        <c:manualLayout>
          <c:xMode val="factor"/>
          <c:yMode val="factor"/>
          <c:x val="0.01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395"/>
          <c:w val="0.88825"/>
          <c:h val="0.932"/>
        </c:manualLayout>
      </c:layout>
      <c:scatterChart>
        <c:scatterStyle val="lineMarker"/>
        <c:varyColors val="0"/>
        <c:ser>
          <c:idx val="0"/>
          <c:order val="0"/>
          <c:tx>
            <c:v>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Hinode_alignment_trend_by_Shimi!$AU$13:$AU$238</c:f>
              <c:numCache/>
            </c:numRef>
          </c:yVal>
          <c:smooth val="0"/>
        </c:ser>
        <c:axId val="49890954"/>
        <c:axId val="46365403"/>
      </c:scatterChart>
      <c:valAx>
        <c:axId val="4989095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At val="1000"/>
        <c:crossBetween val="midCat"/>
        <c:dispUnits/>
      </c:valAx>
      <c:valAx>
        <c:axId val="46365403"/>
        <c:scaling>
          <c:orientation val="minMax"/>
          <c:max val="1025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15"/>
          <c:w val="0.160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YANG (E-W) at AOL=0</a:t>
            </a:r>
          </a:p>
        </c:rich>
      </c:tx>
      <c:layout>
        <c:manualLayout>
          <c:xMode val="factor"/>
          <c:yMode val="factor"/>
          <c:x val="0.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425"/>
          <c:w val="0.8857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Hinode_alignment_trend_by_Shimi!$AW$13:$AW$238</c:f>
              <c:numCache/>
            </c:numRef>
          </c:yVal>
          <c:smooth val="0"/>
        </c:ser>
        <c:axId val="14635444"/>
        <c:axId val="64610133"/>
      </c:scatterChart>
      <c:valAx>
        <c:axId val="1463544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910"/>
        <c:crossBetween val="midCat"/>
        <c:dispUnits/>
      </c:valAx>
      <c:valAx>
        <c:axId val="64610133"/>
        <c:scaling>
          <c:orientation val="minMax"/>
          <c:max val="935"/>
          <c:min val="9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72675"/>
          <c:w val="0.156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(N-S)</a:t>
            </a:r>
          </a:p>
        </c:rich>
      </c:tx>
      <c:layout>
        <c:manualLayout>
          <c:xMode val="factor"/>
          <c:yMode val="factor"/>
          <c:x val="0.07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7"/>
          <c:w val="0.9447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v>SOT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Hinode_alignment_trend_by_Shimi!$AC$13:$AC$238</c:f>
              <c:numCache/>
            </c:numRef>
          </c:yVal>
          <c:smooth val="0"/>
        </c:ser>
        <c:axId val="44620286"/>
        <c:axId val="66038255"/>
      </c:scatterChart>
      <c:valAx>
        <c:axId val="4462028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At val="-10"/>
        <c:crossBetween val="midCat"/>
        <c:dispUnits/>
      </c:valAx>
      <c:valAx>
        <c:axId val="66038255"/>
        <c:scaling>
          <c:orientation val="minMax"/>
          <c:max val="6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82475"/>
          <c:w val="0.082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(E-W)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485"/>
          <c:w val="0.943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SOT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Hinode_alignment_trend_by_Shimi!$AD$13:$AD$238</c:f>
              <c:numCache/>
            </c:numRef>
          </c:yVal>
          <c:smooth val="0"/>
        </c:ser>
        <c:axId val="57473384"/>
        <c:axId val="47498409"/>
      </c:scatterChart>
      <c:valAx>
        <c:axId val="5747338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At val="-15"/>
        <c:crossBetween val="midCat"/>
        <c:dispUnits/>
      </c:valAx>
      <c:valAx>
        <c:axId val="47498409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80625"/>
          <c:w val="0.082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0575"/>
          <c:w val="0.8975"/>
          <c:h val="0.991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Hinode_alignment_trend_by_Shimi!$CD$7:$CD$238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Hinode_alignment_trend_by_Shimi!$CE$7:$CE$238</c:f>
              <c:numCache/>
            </c:numRef>
          </c:yVal>
          <c:smooth val="0"/>
        </c:ser>
        <c:axId val="24832498"/>
        <c:axId val="22165891"/>
      </c:scatterChart>
      <c:valAx>
        <c:axId val="24832498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2165891"/>
        <c:crossesAt val="-45"/>
        <c:crossBetween val="midCat"/>
        <c:dispUnits/>
        <c:majorUnit val="30"/>
      </c:valAx>
      <c:valAx>
        <c:axId val="22165891"/>
        <c:scaling>
          <c:orientation val="minMax"/>
          <c:max val="-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4832498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09425"/>
          <c:w val="0.3322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025"/>
          <c:w val="0.8747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Hinode_alignment_trend_by_Shimi!$CF$7:$CF$238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Hinode_alignment_trend_by_Shimi!$CG$7:$CG$238</c:f>
              <c:numCache/>
            </c:numRef>
          </c:yVal>
          <c:smooth val="0"/>
        </c:ser>
        <c:axId val="65275292"/>
        <c:axId val="50606717"/>
      </c:scatterChart>
      <c:valAx>
        <c:axId val="65275292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606717"/>
        <c:crossesAt val="30"/>
        <c:crossBetween val="midCat"/>
        <c:dispUnits/>
        <c:majorUnit val="30"/>
      </c:valAx>
      <c:valAx>
        <c:axId val="50606717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275292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"/>
          <c:w val="0.32125"/>
          <c:h val="0.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0125"/>
          <c:w val="0.879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Hinode_alignment_trend_by_Shimi!$CI$7:$CI$238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Hinode_alignment_trend_by_Shimi!$CJ$7:$CJ$238</c:f>
              <c:numCache/>
            </c:numRef>
          </c:yVal>
          <c:smooth val="0"/>
        </c:ser>
        <c:axId val="52807270"/>
        <c:axId val="5503383"/>
      </c:scatterChart>
      <c:valAx>
        <c:axId val="52807270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03383"/>
        <c:crossesAt val="-80"/>
        <c:crossBetween val="midCat"/>
        <c:dispUnits/>
        <c:majorUnit val="30"/>
      </c:valAx>
      <c:valAx>
        <c:axId val="5503383"/>
        <c:scaling>
          <c:orientation val="minMax"/>
          <c:max val="-4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807270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.095"/>
          <c:w val="0.346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1025"/>
          <c:w val="0.8765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Hinode_alignment_trend_by_Shimi!$CK$7:$CK$238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Hinode_alignment_trend_by_Shimi!$CL$7:$CL$238</c:f>
              <c:numCache/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120849"/>
        <c:crossesAt val="-70"/>
        <c:crossBetween val="midCat"/>
        <c:dispUnits/>
        <c:majorUnit val="30"/>
      </c:valAx>
      <c:valAx>
        <c:axId val="43120849"/>
        <c:scaling>
          <c:orientation val="minMax"/>
          <c:max val="-1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530448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"/>
          <c:w val="0.32325"/>
          <c:h val="0.3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N-S</a:t>
            </a:r>
          </a:p>
        </c:rich>
      </c:tx>
      <c:layout>
        <c:manualLayout>
          <c:xMode val="factor"/>
          <c:yMode val="factor"/>
          <c:x val="0.005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4975"/>
          <c:w val="0.9102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EIS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Hinode_alignment_trend_by_Shimi!$BY$13:$BY$238</c:f>
              <c:numCache/>
            </c:numRef>
          </c:yVal>
          <c:smooth val="0"/>
        </c:ser>
        <c:ser>
          <c:idx val="1"/>
          <c:order val="1"/>
          <c:tx>
            <c:v>EIS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Hinode_alignment_trend_by_Shimi!$BZ$13:$BZ$238</c:f>
              <c:numCache/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-940"/>
        <c:crossBetween val="midCat"/>
        <c:dispUnits/>
      </c:valAx>
      <c:valAx>
        <c:axId val="3127851"/>
        <c:scaling>
          <c:orientation val="minMax"/>
          <c:max val="-860"/>
          <c:min val="-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Sun center address in HeII (arcsec)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708"/>
          <c:w val="0.230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625"/>
          <c:w val="0.982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EIS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Hinode_alignment_trend_by_Shimi!$CA$13:$CA$238</c:f>
              <c:numCache/>
            </c:numRef>
          </c:yVal>
          <c:smooth val="0"/>
        </c:ser>
        <c:ser>
          <c:idx val="1"/>
          <c:order val="1"/>
          <c:tx>
            <c:v>EIS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Hinode_alignment_trend_by_Shimi!$CB$13:$CB$238</c:f>
              <c:numCache/>
            </c:numRef>
          </c:yVal>
          <c:smooth val="0"/>
        </c:ser>
        <c:axId val="28150660"/>
        <c:axId val="52029349"/>
      </c:scatterChart>
      <c:valAx>
        <c:axId val="28150660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880"/>
        <c:crossBetween val="midCat"/>
        <c:dispUnits/>
      </c:valAx>
      <c:valAx>
        <c:axId val="52029349"/>
        <c:scaling>
          <c:orientation val="minMax"/>
          <c:max val="960"/>
          <c:min val="8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025"/>
          <c:w val="0.229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4575"/>
          <c:w val="0.979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XRT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Hinode_alignment_trend_by_Shimi!$Q$13:$Q$238</c:f>
              <c:numCache/>
            </c:numRef>
          </c:yVal>
          <c:smooth val="0"/>
        </c:ser>
        <c:ser>
          <c:idx val="1"/>
          <c:order val="1"/>
          <c:tx>
            <c:v>XRT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Hinode_alignment_trend_by_Shimi!$R$13:$R$238</c:f>
              <c:numCache/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965"/>
        <c:crossBetween val="midCat"/>
        <c:dispUnits/>
      </c:valAx>
      <c:valAx>
        <c:axId val="28853131"/>
        <c:scaling>
          <c:orientation val="minMax"/>
          <c:max val="2025"/>
          <c:min val="196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4514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19375"/>
          <c:w val="0.233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N-S</a:t>
            </a:r>
          </a:p>
        </c:rich>
      </c:tx>
      <c:layout>
        <c:manualLayout>
          <c:xMode val="factor"/>
          <c:yMode val="factor"/>
          <c:x val="0.008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4275"/>
          <c:w val="0.935"/>
          <c:h val="0.9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trend'!$A$8:$A$73</c:f>
              <c:strCache/>
            </c:strRef>
          </c:xVal>
          <c:yVal>
            <c:numRef>
              <c:f>'Non-eclipse trend'!$L$8:$L$73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trend'!$A$8:$A$73</c:f>
              <c:strCache/>
            </c:strRef>
          </c:xVal>
          <c:yVal>
            <c:numRef>
              <c:f>'Non-eclipse trend'!$M$8:$M$73</c:f>
              <c:numCache/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60"/>
        <c:crossBetween val="midCat"/>
        <c:dispUnits/>
      </c:valAx>
      <c:valAx>
        <c:axId val="53627711"/>
        <c:scaling>
          <c:orientation val="minMax"/>
          <c:max val="13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838"/>
          <c:w val="0.234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465"/>
          <c:w val="0.979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trend'!$Q$8:$Q$70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trend'!$R$8:$R$70</c:f>
              <c:numCache/>
            </c:numRef>
          </c:yVal>
          <c:smooth val="0"/>
        </c:ser>
        <c:axId val="12887352"/>
        <c:axId val="48877305"/>
      </c:scatterChart>
      <c:valAx>
        <c:axId val="1288735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At val="1965"/>
        <c:crossBetween val="midCat"/>
        <c:dispUnits/>
      </c:valAx>
      <c:valAx>
        <c:axId val="48877305"/>
        <c:scaling>
          <c:orientation val="minMax"/>
          <c:max val="1990"/>
          <c:min val="19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19375"/>
          <c:w val="0.234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N-S</a:t>
            </a:r>
          </a:p>
        </c:rich>
      </c:tx>
      <c:layout>
        <c:manualLayout>
          <c:xMode val="factor"/>
          <c:yMode val="factor"/>
          <c:x val="0.076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4425"/>
          <c:w val="0.941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trend'!$X$8:$X$70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trend'!$Y$8:$Y$70</c:f>
              <c:numCache/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603"/>
        <c:crossesAt val="-950"/>
        <c:crossBetween val="midCat"/>
        <c:dispUnits/>
      </c:valAx>
      <c:valAx>
        <c:axId val="66747603"/>
        <c:scaling>
          <c:orientation val="minMax"/>
          <c:max val="-880"/>
          <c:min val="-9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4256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84425"/>
          <c:w val="0.243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 E-W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5575"/>
          <c:w val="0.938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trend'!$Z$8:$Z$70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trend'!$AA$8:$AA$70</c:f>
              <c:numCache/>
            </c:numRef>
          </c:yVal>
          <c:smooth val="0"/>
        </c:ser>
        <c:axId val="63857516"/>
        <c:axId val="37846733"/>
      </c:scatterChart>
      <c:valAx>
        <c:axId val="6385751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6733"/>
        <c:crossesAt val="1025"/>
        <c:crossBetween val="midCat"/>
        <c:dispUnits/>
      </c:valAx>
      <c:valAx>
        <c:axId val="37846733"/>
        <c:scaling>
          <c:orientation val="minMax"/>
          <c:max val="1055"/>
          <c:min val="10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5751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187"/>
          <c:w val="0.240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- SOT DC offset </a:t>
            </a:r>
          </a:p>
        </c:rich>
      </c:tx>
      <c:layout>
        <c:manualLayout>
          <c:xMode val="factor"/>
          <c:yMode val="factor"/>
          <c:x val="0.0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4025"/>
          <c:w val="0.955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Hinode_alignment_trend_by_Shimi!$AJ$7:$AJ$238</c:f>
              <c:numCache>
                <c:ptCount val="232"/>
                <c:pt idx="0">
                  <c:v>36.6</c:v>
                </c:pt>
                <c:pt idx="6">
                  <c:v>-36.38057069999991</c:v>
                </c:pt>
                <c:pt idx="8">
                  <c:v>-35.74537310000005</c:v>
                </c:pt>
                <c:pt idx="9">
                  <c:v>-35.97078250000004</c:v>
                </c:pt>
                <c:pt idx="11">
                  <c:v>-35.78933129999996</c:v>
                </c:pt>
                <c:pt idx="13">
                  <c:v>-35.6311948</c:v>
                </c:pt>
                <c:pt idx="14">
                  <c:v>-35.64668579999977</c:v>
                </c:pt>
                <c:pt idx="15">
                  <c:v>-35.4001303</c:v>
                </c:pt>
                <c:pt idx="16">
                  <c:v>-35.21016159999999</c:v>
                </c:pt>
                <c:pt idx="18">
                  <c:v>-34.32324950000009</c:v>
                </c:pt>
                <c:pt idx="19">
                  <c:v>-34.025010000000066</c:v>
                </c:pt>
                <c:pt idx="20">
                  <c:v>-33.810592199999974</c:v>
                </c:pt>
                <c:pt idx="21">
                  <c:v>-34.09537940000007</c:v>
                </c:pt>
                <c:pt idx="22">
                  <c:v>-34.23671669999999</c:v>
                </c:pt>
                <c:pt idx="23">
                  <c:v>-33.84694879999995</c:v>
                </c:pt>
                <c:pt idx="24">
                  <c:v>-34.09014819999982</c:v>
                </c:pt>
                <c:pt idx="25">
                  <c:v>-34.039381700000035</c:v>
                </c:pt>
                <c:pt idx="26">
                  <c:v>-33.96300410000015</c:v>
                </c:pt>
                <c:pt idx="27">
                  <c:v>-34.231622099999754</c:v>
                </c:pt>
                <c:pt idx="28">
                  <c:v>-34.87630239999987</c:v>
                </c:pt>
                <c:pt idx="29">
                  <c:v>-35.22875929999998</c:v>
                </c:pt>
                <c:pt idx="36">
                  <c:v>-36.07455049999999</c:v>
                </c:pt>
                <c:pt idx="37">
                  <c:v>-36.56829809999999</c:v>
                </c:pt>
                <c:pt idx="39">
                  <c:v>-36.60033929999997</c:v>
                </c:pt>
                <c:pt idx="40">
                  <c:v>-36.86813559999996</c:v>
                </c:pt>
                <c:pt idx="41">
                  <c:v>-37.35806200000013</c:v>
                </c:pt>
                <c:pt idx="43">
                  <c:v>-35.47135719999983</c:v>
                </c:pt>
                <c:pt idx="44">
                  <c:v>-36.0344384</c:v>
                </c:pt>
                <c:pt idx="45">
                  <c:v>-36.89284280000004</c:v>
                </c:pt>
                <c:pt idx="46">
                  <c:v>-36.5375237999998</c:v>
                </c:pt>
                <c:pt idx="47">
                  <c:v>-36.14709259999984</c:v>
                </c:pt>
                <c:pt idx="48">
                  <c:v>-35.68704249999996</c:v>
                </c:pt>
                <c:pt idx="49">
                  <c:v>-35.31993740000007</c:v>
                </c:pt>
                <c:pt idx="50">
                  <c:v>-35.75534280000011</c:v>
                </c:pt>
                <c:pt idx="51">
                  <c:v>-34.539001400000075</c:v>
                </c:pt>
                <c:pt idx="52">
                  <c:v>-34.75704619999999</c:v>
                </c:pt>
                <c:pt idx="53">
                  <c:v>-34.48310980000008</c:v>
                </c:pt>
                <c:pt idx="54">
                  <c:v>-34.33150929999988</c:v>
                </c:pt>
                <c:pt idx="55">
                  <c:v>-34.799530400000094</c:v>
                </c:pt>
                <c:pt idx="56">
                  <c:v>-35.568019400000026</c:v>
                </c:pt>
                <c:pt idx="57">
                  <c:v>-35.99789129999999</c:v>
                </c:pt>
                <c:pt idx="58">
                  <c:v>-37.68683470000008</c:v>
                </c:pt>
                <c:pt idx="60">
                  <c:v>-36.96540469999991</c:v>
                </c:pt>
                <c:pt idx="61">
                  <c:v>-36.96107110000003</c:v>
                </c:pt>
                <c:pt idx="62">
                  <c:v>-37.65270539999972</c:v>
                </c:pt>
                <c:pt idx="63">
                  <c:v>-37.79704559999993</c:v>
                </c:pt>
                <c:pt idx="64">
                  <c:v>-37.60436600000003</c:v>
                </c:pt>
                <c:pt idx="65">
                  <c:v>-38.4507837000001</c:v>
                </c:pt>
                <c:pt idx="66">
                  <c:v>-38.82098539999993</c:v>
                </c:pt>
                <c:pt idx="67">
                  <c:v>-37.62260159999994</c:v>
                </c:pt>
                <c:pt idx="68">
                  <c:v>-37.66969160000019</c:v>
                </c:pt>
                <c:pt idx="69">
                  <c:v>-37.21037639999997</c:v>
                </c:pt>
                <c:pt idx="70">
                  <c:v>-37.41464980000001</c:v>
                </c:pt>
                <c:pt idx="71">
                  <c:v>-36.463548499999774</c:v>
                </c:pt>
                <c:pt idx="72">
                  <c:v>-36.09856300000001</c:v>
                </c:pt>
                <c:pt idx="73">
                  <c:v>-36.804638400000044</c:v>
                </c:pt>
                <c:pt idx="74">
                  <c:v>-35.46838750000006</c:v>
                </c:pt>
                <c:pt idx="75">
                  <c:v>-35.81541749999985</c:v>
                </c:pt>
                <c:pt idx="76">
                  <c:v>-35.68223869999986</c:v>
                </c:pt>
                <c:pt idx="77">
                  <c:v>-34.83252559999994</c:v>
                </c:pt>
                <c:pt idx="78">
                  <c:v>-35.01794129999985</c:v>
                </c:pt>
                <c:pt idx="79">
                  <c:v>-35.13959039999986</c:v>
                </c:pt>
                <c:pt idx="81">
                  <c:v>-34.343239100000005</c:v>
                </c:pt>
                <c:pt idx="83">
                  <c:v>-34.388452600000164</c:v>
                </c:pt>
                <c:pt idx="84">
                  <c:v>-35.081243399999835</c:v>
                </c:pt>
                <c:pt idx="86">
                  <c:v>-35.68658140000002</c:v>
                </c:pt>
                <c:pt idx="87">
                  <c:v>-35.69458599999996</c:v>
                </c:pt>
                <c:pt idx="88">
                  <c:v>-35.769702599999846</c:v>
                </c:pt>
                <c:pt idx="90">
                  <c:v>-36.659103299999856</c:v>
                </c:pt>
                <c:pt idx="91">
                  <c:v>-37.43491260000019</c:v>
                </c:pt>
                <c:pt idx="92">
                  <c:v>-37.23078239999995</c:v>
                </c:pt>
                <c:pt idx="93">
                  <c:v>-37.07214249999993</c:v>
                </c:pt>
                <c:pt idx="94">
                  <c:v>-37.3317899000001</c:v>
                </c:pt>
                <c:pt idx="95">
                  <c:v>-37.96404380000013</c:v>
                </c:pt>
                <c:pt idx="99">
                  <c:v>-38.54571920000001</c:v>
                </c:pt>
                <c:pt idx="100">
                  <c:v>-37.31255429999999</c:v>
                </c:pt>
                <c:pt idx="101">
                  <c:v>-34.1982890999999</c:v>
                </c:pt>
                <c:pt idx="102">
                  <c:v>-35.22887349999996</c:v>
                </c:pt>
                <c:pt idx="103">
                  <c:v>-34.48999059999994</c:v>
                </c:pt>
                <c:pt idx="104">
                  <c:v>-34.31649299999992</c:v>
                </c:pt>
                <c:pt idx="105">
                  <c:v>-35.93706859999986</c:v>
                </c:pt>
                <c:pt idx="106">
                  <c:v>-35.56991779999987</c:v>
                </c:pt>
                <c:pt idx="107">
                  <c:v>-34.873532299999965</c:v>
                </c:pt>
                <c:pt idx="109">
                  <c:v>-34.510209799999984</c:v>
                </c:pt>
                <c:pt idx="112">
                  <c:v>-35.080289199999925</c:v>
                </c:pt>
                <c:pt idx="115">
                  <c:v>-35.62093900000002</c:v>
                </c:pt>
                <c:pt idx="117">
                  <c:v>-35.164027299999816</c:v>
                </c:pt>
                <c:pt idx="119">
                  <c:v>-37.62298730000009</c:v>
                </c:pt>
                <c:pt idx="120">
                  <c:v>-37.38253489999988</c:v>
                </c:pt>
                <c:pt idx="121">
                  <c:v>-35.754258200000095</c:v>
                </c:pt>
                <c:pt idx="122">
                  <c:v>-35.43726959999992</c:v>
                </c:pt>
                <c:pt idx="123">
                  <c:v>-35.05609939999988</c:v>
                </c:pt>
                <c:pt idx="124">
                  <c:v>-35.88251049999997</c:v>
                </c:pt>
                <c:pt idx="125">
                  <c:v>-36.374605199999905</c:v>
                </c:pt>
                <c:pt idx="126">
                  <c:v>-35.92954510000004</c:v>
                </c:pt>
                <c:pt idx="127">
                  <c:v>-35.306296100000054</c:v>
                </c:pt>
                <c:pt idx="128">
                  <c:v>-35.082217199999945</c:v>
                </c:pt>
                <c:pt idx="129">
                  <c:v>-34.34975919999988</c:v>
                </c:pt>
                <c:pt idx="130">
                  <c:v>-33.3556863</c:v>
                </c:pt>
                <c:pt idx="132">
                  <c:v>-34.33365909999986</c:v>
                </c:pt>
                <c:pt idx="133">
                  <c:v>-34.11454479999986</c:v>
                </c:pt>
                <c:pt idx="134">
                  <c:v>-33.41208169999993</c:v>
                </c:pt>
                <c:pt idx="135">
                  <c:v>-33.31742069999996</c:v>
                </c:pt>
                <c:pt idx="137">
                  <c:v>-33.69028079999987</c:v>
                </c:pt>
                <c:pt idx="138">
                  <c:v>-33.25889849999999</c:v>
                </c:pt>
                <c:pt idx="140">
                  <c:v>-34.2219369999998</c:v>
                </c:pt>
                <c:pt idx="141">
                  <c:v>-34.071464000000105</c:v>
                </c:pt>
                <c:pt idx="142">
                  <c:v>-34.57211659999996</c:v>
                </c:pt>
                <c:pt idx="144">
                  <c:v>-35.50735920000011</c:v>
                </c:pt>
                <c:pt idx="145">
                  <c:v>-36.29073970000002</c:v>
                </c:pt>
                <c:pt idx="148">
                  <c:v>-33.54624139999987</c:v>
                </c:pt>
                <c:pt idx="149">
                  <c:v>-33.71730429999991</c:v>
                </c:pt>
                <c:pt idx="150">
                  <c:v>-34.217393400000105</c:v>
                </c:pt>
                <c:pt idx="151">
                  <c:v>-36.86177629999986</c:v>
                </c:pt>
                <c:pt idx="152">
                  <c:v>-37.10482370000011</c:v>
                </c:pt>
                <c:pt idx="153">
                  <c:v>-35.641206000000125</c:v>
                </c:pt>
                <c:pt idx="154">
                  <c:v>-36.44680149999988</c:v>
                </c:pt>
                <c:pt idx="157">
                  <c:v>-33.63481580000018</c:v>
                </c:pt>
                <c:pt idx="159">
                  <c:v>-33.30180169999994</c:v>
                </c:pt>
                <c:pt idx="160">
                  <c:v>-33.16305060000002</c:v>
                </c:pt>
                <c:pt idx="161">
                  <c:v>-33.250707499999976</c:v>
                </c:pt>
                <c:pt idx="162">
                  <c:v>-33.29304539999998</c:v>
                </c:pt>
                <c:pt idx="163">
                  <c:v>-33.880360599999904</c:v>
                </c:pt>
                <c:pt idx="164">
                  <c:v>-33.65462030000003</c:v>
                </c:pt>
                <c:pt idx="165">
                  <c:v>-34.27053919999992</c:v>
                </c:pt>
                <c:pt idx="166">
                  <c:v>-34.85099350000007</c:v>
                </c:pt>
                <c:pt idx="167">
                  <c:v>-35.074858699999936</c:v>
                </c:pt>
                <c:pt idx="168">
                  <c:v>-36.50938429999985</c:v>
                </c:pt>
                <c:pt idx="169">
                  <c:v>-35.99499950000006</c:v>
                </c:pt>
                <c:pt idx="170">
                  <c:v>-35.848743899999704</c:v>
                </c:pt>
                <c:pt idx="171">
                  <c:v>-36.833075699999995</c:v>
                </c:pt>
                <c:pt idx="172">
                  <c:v>-36.84664789999988</c:v>
                </c:pt>
                <c:pt idx="173">
                  <c:v>-36.588528100000076</c:v>
                </c:pt>
                <c:pt idx="174">
                  <c:v>-36.71019090000004</c:v>
                </c:pt>
                <c:pt idx="175">
                  <c:v>-37.20000970000001</c:v>
                </c:pt>
                <c:pt idx="176">
                  <c:v>-36.0986273000002</c:v>
                </c:pt>
                <c:pt idx="177">
                  <c:v>-36.60789409999984</c:v>
                </c:pt>
                <c:pt idx="178">
                  <c:v>-34.991839899999945</c:v>
                </c:pt>
                <c:pt idx="179">
                  <c:v>-34.30283920000011</c:v>
                </c:pt>
                <c:pt idx="180">
                  <c:v>-34.28273950000005</c:v>
                </c:pt>
                <c:pt idx="181">
                  <c:v>-33.632881999999995</c:v>
                </c:pt>
                <c:pt idx="182">
                  <c:v>-33.17918409999993</c:v>
                </c:pt>
                <c:pt idx="183">
                  <c:v>-32.64663689999986</c:v>
                </c:pt>
                <c:pt idx="184">
                  <c:v>-33.80747399999996</c:v>
                </c:pt>
                <c:pt idx="185">
                  <c:v>-33.811296300000095</c:v>
                </c:pt>
                <c:pt idx="186">
                  <c:v>-34.14981369999998</c:v>
                </c:pt>
                <c:pt idx="187">
                  <c:v>-35.1584309000001</c:v>
                </c:pt>
                <c:pt idx="188">
                  <c:v>-35.72768040000017</c:v>
                </c:pt>
                <c:pt idx="189">
                  <c:v>-36.170099400000026</c:v>
                </c:pt>
                <c:pt idx="190">
                  <c:v>-36.41908629999989</c:v>
                </c:pt>
                <c:pt idx="191">
                  <c:v>-36.685274499999764</c:v>
                </c:pt>
                <c:pt idx="192">
                  <c:v>-36.85535119999997</c:v>
                </c:pt>
                <c:pt idx="193">
                  <c:v>-36.64746459999981</c:v>
                </c:pt>
                <c:pt idx="194">
                  <c:v>-37.12156289999996</c:v>
                </c:pt>
                <c:pt idx="195">
                  <c:v>-36.851854799999956</c:v>
                </c:pt>
                <c:pt idx="196">
                  <c:v>-36.4694284000002</c:v>
                </c:pt>
                <c:pt idx="197">
                  <c:v>-36.11654039999996</c:v>
                </c:pt>
                <c:pt idx="198">
                  <c:v>-35.849005400000124</c:v>
                </c:pt>
                <c:pt idx="199">
                  <c:v>-35.40754930000003</c:v>
                </c:pt>
                <c:pt idx="200">
                  <c:v>-34.45050759999992</c:v>
                </c:pt>
                <c:pt idx="201">
                  <c:v>-33.36446940000019</c:v>
                </c:pt>
                <c:pt idx="202">
                  <c:v>-33.205595100000096</c:v>
                </c:pt>
                <c:pt idx="203">
                  <c:v>-32.95211659999984</c:v>
                </c:pt>
                <c:pt idx="204">
                  <c:v>-33.2991902</c:v>
                </c:pt>
                <c:pt idx="205">
                  <c:v>-32.94345139999973</c:v>
                </c:pt>
                <c:pt idx="206">
                  <c:v>-33.52113149999991</c:v>
                </c:pt>
                <c:pt idx="207">
                  <c:v>-34.02574729999981</c:v>
                </c:pt>
                <c:pt idx="208">
                  <c:v>-34.80125420000002</c:v>
                </c:pt>
                <c:pt idx="209">
                  <c:v>-35.251997300000085</c:v>
                </c:pt>
                <c:pt idx="210">
                  <c:v>-35.96509630000003</c:v>
                </c:pt>
                <c:pt idx="211">
                  <c:v>-36.18451440000001</c:v>
                </c:pt>
                <c:pt idx="213">
                  <c:v>-36.616423300000065</c:v>
                </c:pt>
                <c:pt idx="214">
                  <c:v>-36.608296400000086</c:v>
                </c:pt>
                <c:pt idx="216">
                  <c:v>-36.48054249999984</c:v>
                </c:pt>
                <c:pt idx="217">
                  <c:v>-35.38503440000011</c:v>
                </c:pt>
                <c:pt idx="218">
                  <c:v>-34.82835809999983</c:v>
                </c:pt>
                <c:pt idx="219">
                  <c:v>-34.394397199999844</c:v>
                </c:pt>
                <c:pt idx="220">
                  <c:v>-34.215275399999996</c:v>
                </c:pt>
                <c:pt idx="221">
                  <c:v>-33.66355389999978</c:v>
                </c:pt>
                <c:pt idx="223">
                  <c:v>-33.0656426999999</c:v>
                </c:pt>
                <c:pt idx="224">
                  <c:v>-35.43868179999993</c:v>
                </c:pt>
                <c:pt idx="227">
                  <c:v>-34.63875350000012</c:v>
                </c:pt>
                <c:pt idx="228">
                  <c:v>-35.299502699999834</c:v>
                </c:pt>
                <c:pt idx="229">
                  <c:v>-35.30121820000011</c:v>
                </c:pt>
                <c:pt idx="230">
                  <c:v>-35.65455329999986</c:v>
                </c:pt>
                <c:pt idx="231">
                  <c:v>-36.62567230000013</c:v>
                </c:pt>
              </c:numCache>
            </c:numRef>
          </c:xVal>
          <c:yVal>
            <c:numRef>
              <c:f>Hinode_alignment_trend_by_Shimi!$AH$7:$AH$238</c:f>
              <c:numCache>
                <c:ptCount val="232"/>
                <c:pt idx="0">
                  <c:v>-23.1</c:v>
                </c:pt>
                <c:pt idx="2">
                  <c:v>0</c:v>
                </c:pt>
                <c:pt idx="6">
                  <c:v>-23.154572120000125</c:v>
                </c:pt>
                <c:pt idx="8">
                  <c:v>-23.06867288000001</c:v>
                </c:pt>
                <c:pt idx="9">
                  <c:v>-23.78114931999994</c:v>
                </c:pt>
                <c:pt idx="11">
                  <c:v>-23.977106090000007</c:v>
                </c:pt>
                <c:pt idx="13">
                  <c:v>-24.103158240000084</c:v>
                </c:pt>
                <c:pt idx="14">
                  <c:v>-23.81709177000016</c:v>
                </c:pt>
                <c:pt idx="15">
                  <c:v>-24.992902759999993</c:v>
                </c:pt>
                <c:pt idx="16">
                  <c:v>-24.22135230000015</c:v>
                </c:pt>
                <c:pt idx="18">
                  <c:v>-22.862838409999995</c:v>
                </c:pt>
                <c:pt idx="19">
                  <c:v>-23.63019444700012</c:v>
                </c:pt>
                <c:pt idx="20">
                  <c:v>-23.853418818000023</c:v>
                </c:pt>
                <c:pt idx="21">
                  <c:v>-24.179276623000078</c:v>
                </c:pt>
                <c:pt idx="22">
                  <c:v>-25.871576860999994</c:v>
                </c:pt>
                <c:pt idx="23">
                  <c:v>-24.21390711900017</c:v>
                </c:pt>
                <c:pt idx="24">
                  <c:v>-25.429065227000024</c:v>
                </c:pt>
                <c:pt idx="25">
                  <c:v>-25.097800678999988</c:v>
                </c:pt>
                <c:pt idx="26">
                  <c:v>-25.633154672000046</c:v>
                </c:pt>
                <c:pt idx="27">
                  <c:v>-25.369924052999977</c:v>
                </c:pt>
                <c:pt idx="28">
                  <c:v>-25.258581314000025</c:v>
                </c:pt>
                <c:pt idx="36">
                  <c:v>-25.1070713900001</c:v>
                </c:pt>
                <c:pt idx="37">
                  <c:v>-24.454825410000126</c:v>
                </c:pt>
                <c:pt idx="39">
                  <c:v>-24.481930590000047</c:v>
                </c:pt>
                <c:pt idx="40">
                  <c:v>-24.504211000000055</c:v>
                </c:pt>
                <c:pt idx="41">
                  <c:v>-25.290363210000123</c:v>
                </c:pt>
                <c:pt idx="43">
                  <c:v>-27.52765274000012</c:v>
                </c:pt>
                <c:pt idx="44">
                  <c:v>-27.288173160000156</c:v>
                </c:pt>
                <c:pt idx="45">
                  <c:v>-27.070174250000036</c:v>
                </c:pt>
                <c:pt idx="46">
                  <c:v>-26.93676630000016</c:v>
                </c:pt>
                <c:pt idx="47">
                  <c:v>-27.086602790000143</c:v>
                </c:pt>
                <c:pt idx="48">
                  <c:v>-26.323476490000076</c:v>
                </c:pt>
                <c:pt idx="49">
                  <c:v>-27.652891830000044</c:v>
                </c:pt>
                <c:pt idx="50">
                  <c:v>-26.60643837000009</c:v>
                </c:pt>
                <c:pt idx="51">
                  <c:v>-27.07862849600008</c:v>
                </c:pt>
                <c:pt idx="52">
                  <c:v>-26.73735016000012</c:v>
                </c:pt>
                <c:pt idx="53">
                  <c:v>-27.204204148000144</c:v>
                </c:pt>
                <c:pt idx="54">
                  <c:v>-27.749632153000107</c:v>
                </c:pt>
                <c:pt idx="55">
                  <c:v>-26.363387716000034</c:v>
                </c:pt>
                <c:pt idx="56">
                  <c:v>-27.867972040000154</c:v>
                </c:pt>
                <c:pt idx="57">
                  <c:v>-28.333589419999953</c:v>
                </c:pt>
                <c:pt idx="58">
                  <c:v>-26.60741588000019</c:v>
                </c:pt>
                <c:pt idx="59">
                  <c:v>-26.535480000000007</c:v>
                </c:pt>
                <c:pt idx="60">
                  <c:v>-27.141149980000137</c:v>
                </c:pt>
                <c:pt idx="61">
                  <c:v>-27.58217267000009</c:v>
                </c:pt>
                <c:pt idx="62">
                  <c:v>-27.41475499000012</c:v>
                </c:pt>
                <c:pt idx="63">
                  <c:v>-27.110271609999927</c:v>
                </c:pt>
                <c:pt idx="66">
                  <c:v>-26.859423149999998</c:v>
                </c:pt>
                <c:pt idx="67">
                  <c:v>-27.18485722000014</c:v>
                </c:pt>
                <c:pt idx="68">
                  <c:v>-27.108569160000002</c:v>
                </c:pt>
                <c:pt idx="69">
                  <c:v>-28.484565520000046</c:v>
                </c:pt>
                <c:pt idx="70">
                  <c:v>-26.73008052</c:v>
                </c:pt>
                <c:pt idx="71">
                  <c:v>-28.600120059999995</c:v>
                </c:pt>
                <c:pt idx="72">
                  <c:v>-27.632691329999943</c:v>
                </c:pt>
                <c:pt idx="73">
                  <c:v>-27.982932190000042</c:v>
                </c:pt>
                <c:pt idx="74">
                  <c:v>-27.653762380000103</c:v>
                </c:pt>
                <c:pt idx="75">
                  <c:v>-27.445809010000062</c:v>
                </c:pt>
                <c:pt idx="76">
                  <c:v>-27.67532939</c:v>
                </c:pt>
                <c:pt idx="77">
                  <c:v>-28.011124193000114</c:v>
                </c:pt>
                <c:pt idx="78">
                  <c:v>-27.061434227000063</c:v>
                </c:pt>
                <c:pt idx="79">
                  <c:v>-26.702030599000068</c:v>
                </c:pt>
                <c:pt idx="81">
                  <c:v>-28.155827322999926</c:v>
                </c:pt>
                <c:pt idx="82">
                  <c:v>-27.426064460000134</c:v>
                </c:pt>
                <c:pt idx="83">
                  <c:v>-28.35472752299995</c:v>
                </c:pt>
                <c:pt idx="84">
                  <c:v>-28.166755493000096</c:v>
                </c:pt>
                <c:pt idx="86">
                  <c:v>-28.07296030000009</c:v>
                </c:pt>
                <c:pt idx="88">
                  <c:v>-27.88917176000018</c:v>
                </c:pt>
                <c:pt idx="89">
                  <c:v>-28.18570254000008</c:v>
                </c:pt>
                <c:pt idx="90">
                  <c:v>-28.310304000000087</c:v>
                </c:pt>
                <c:pt idx="91">
                  <c:v>-27.122622569999976</c:v>
                </c:pt>
                <c:pt idx="92">
                  <c:v>-27.325437400000055</c:v>
                </c:pt>
                <c:pt idx="93">
                  <c:v>-27.57182679000016</c:v>
                </c:pt>
                <c:pt idx="94">
                  <c:v>-27.390987390000078</c:v>
                </c:pt>
                <c:pt idx="95">
                  <c:v>-27.668322569999987</c:v>
                </c:pt>
                <c:pt idx="99">
                  <c:v>-26.926487709999947</c:v>
                </c:pt>
                <c:pt idx="101">
                  <c:v>-28.475543250000214</c:v>
                </c:pt>
                <c:pt idx="102">
                  <c:v>-27.380311660000075</c:v>
                </c:pt>
                <c:pt idx="103">
                  <c:v>-28.033119560000046</c:v>
                </c:pt>
                <c:pt idx="104">
                  <c:v>-27.79511575000015</c:v>
                </c:pt>
                <c:pt idx="105">
                  <c:v>-28.0470415100001</c:v>
                </c:pt>
                <c:pt idx="106">
                  <c:v>-28.255160680000017</c:v>
                </c:pt>
                <c:pt idx="107">
                  <c:v>-27.687307951000093</c:v>
                </c:pt>
                <c:pt idx="109">
                  <c:v>-27.56010368900013</c:v>
                </c:pt>
                <c:pt idx="112">
                  <c:v>-27.64990630500006</c:v>
                </c:pt>
                <c:pt idx="113">
                  <c:v>-27.91521540300016</c:v>
                </c:pt>
                <c:pt idx="115">
                  <c:v>-27.803537616000085</c:v>
                </c:pt>
                <c:pt idx="117">
                  <c:v>-28.121835130000022</c:v>
                </c:pt>
                <c:pt idx="119">
                  <c:v>-28.58310052000013</c:v>
                </c:pt>
                <c:pt idx="120">
                  <c:v>-27.753545650000092</c:v>
                </c:pt>
                <c:pt idx="121">
                  <c:v>-28.14666962000001</c:v>
                </c:pt>
                <c:pt idx="122">
                  <c:v>-28.888035190000096</c:v>
                </c:pt>
                <c:pt idx="123">
                  <c:v>-28.88438911000003</c:v>
                </c:pt>
                <c:pt idx="124">
                  <c:v>-27.320437709999965</c:v>
                </c:pt>
                <c:pt idx="125">
                  <c:v>-27.649379350000117</c:v>
                </c:pt>
                <c:pt idx="126">
                  <c:v>-28.698794160000034</c:v>
                </c:pt>
                <c:pt idx="127">
                  <c:v>-28.00008834000016</c:v>
                </c:pt>
                <c:pt idx="128">
                  <c:v>-29.237669700000083</c:v>
                </c:pt>
                <c:pt idx="129">
                  <c:v>-30.030033530000082</c:v>
                </c:pt>
                <c:pt idx="130">
                  <c:v>-29.625767790000168</c:v>
                </c:pt>
                <c:pt idx="132">
                  <c:v>-29.4258619740001</c:v>
                </c:pt>
                <c:pt idx="133">
                  <c:v>-28.734284944000024</c:v>
                </c:pt>
                <c:pt idx="134">
                  <c:v>-29.373406514000067</c:v>
                </c:pt>
                <c:pt idx="135">
                  <c:v>-28.9752408170001</c:v>
                </c:pt>
                <c:pt idx="137">
                  <c:v>-29.31564184599995</c:v>
                </c:pt>
                <c:pt idx="138">
                  <c:v>-29.15591397200012</c:v>
                </c:pt>
                <c:pt idx="140">
                  <c:v>-28.68687289900015</c:v>
                </c:pt>
                <c:pt idx="141">
                  <c:v>-28.331361533000063</c:v>
                </c:pt>
                <c:pt idx="142">
                  <c:v>-29.36445657600018</c:v>
                </c:pt>
                <c:pt idx="144">
                  <c:v>-29.168314560000113</c:v>
                </c:pt>
                <c:pt idx="145">
                  <c:v>-28.648036060000095</c:v>
                </c:pt>
                <c:pt idx="148">
                  <c:v>-29.891286790000095</c:v>
                </c:pt>
                <c:pt idx="149">
                  <c:v>-29.974576010000078</c:v>
                </c:pt>
                <c:pt idx="150">
                  <c:v>-28.22881566000001</c:v>
                </c:pt>
                <c:pt idx="151">
                  <c:v>-28.304858580000086</c:v>
                </c:pt>
                <c:pt idx="152">
                  <c:v>-28.716643570000087</c:v>
                </c:pt>
                <c:pt idx="153">
                  <c:v>-29.284289979999926</c:v>
                </c:pt>
                <c:pt idx="154">
                  <c:v>-30.004769470000156</c:v>
                </c:pt>
                <c:pt idx="157">
                  <c:v>-29.344980398000075</c:v>
                </c:pt>
                <c:pt idx="159">
                  <c:v>-29.15566464699998</c:v>
                </c:pt>
                <c:pt idx="160">
                  <c:v>-29.32595308400016</c:v>
                </c:pt>
                <c:pt idx="161">
                  <c:v>-29.89315975600016</c:v>
                </c:pt>
                <c:pt idx="162">
                  <c:v>-29.82536215300013</c:v>
                </c:pt>
                <c:pt idx="163">
                  <c:v>-29.06944168600012</c:v>
                </c:pt>
                <c:pt idx="164">
                  <c:v>-29.327350390000106</c:v>
                </c:pt>
                <c:pt idx="165">
                  <c:v>-29.000561366000056</c:v>
                </c:pt>
                <c:pt idx="166">
                  <c:v>-29.355341582999927</c:v>
                </c:pt>
                <c:pt idx="167">
                  <c:v>-29.749945079999975</c:v>
                </c:pt>
                <c:pt idx="168">
                  <c:v>-29.44805212000017</c:v>
                </c:pt>
                <c:pt idx="169">
                  <c:v>-29.637863419999917</c:v>
                </c:pt>
                <c:pt idx="170">
                  <c:v>-29.82323387000008</c:v>
                </c:pt>
                <c:pt idx="171">
                  <c:v>-28.977477950000093</c:v>
                </c:pt>
                <c:pt idx="172">
                  <c:v>-28.537389040000107</c:v>
                </c:pt>
                <c:pt idx="173">
                  <c:v>-28.69828583000003</c:v>
                </c:pt>
                <c:pt idx="174">
                  <c:v>-29.057022120000056</c:v>
                </c:pt>
                <c:pt idx="175">
                  <c:v>-28.27751654000008</c:v>
                </c:pt>
                <c:pt idx="176">
                  <c:v>-29.746894949999955</c:v>
                </c:pt>
                <c:pt idx="177">
                  <c:v>-29.275185309999983</c:v>
                </c:pt>
                <c:pt idx="178">
                  <c:v>-29.41831781000019</c:v>
                </c:pt>
                <c:pt idx="179">
                  <c:v>-30.272978319999993</c:v>
                </c:pt>
                <c:pt idx="180">
                  <c:v>-29.612477336999973</c:v>
                </c:pt>
                <c:pt idx="181">
                  <c:v>-29.124282252000057</c:v>
                </c:pt>
                <c:pt idx="182">
                  <c:v>-29.6320983170001</c:v>
                </c:pt>
                <c:pt idx="183">
                  <c:v>-29.820058795000023</c:v>
                </c:pt>
                <c:pt idx="184">
                  <c:v>-30.032445112999994</c:v>
                </c:pt>
                <c:pt idx="185">
                  <c:v>-28.715657499000145</c:v>
                </c:pt>
                <c:pt idx="186">
                  <c:v>-29.613368145000095</c:v>
                </c:pt>
                <c:pt idx="187">
                  <c:v>-29.743070090000174</c:v>
                </c:pt>
                <c:pt idx="188">
                  <c:v>-30.143745700000068</c:v>
                </c:pt>
                <c:pt idx="189">
                  <c:v>-29.786097400000017</c:v>
                </c:pt>
                <c:pt idx="190">
                  <c:v>-29.839473030000136</c:v>
                </c:pt>
                <c:pt idx="191">
                  <c:v>-29.088771250000036</c:v>
                </c:pt>
                <c:pt idx="192">
                  <c:v>-29.17386342000009</c:v>
                </c:pt>
                <c:pt idx="193">
                  <c:v>-29.518913580000003</c:v>
                </c:pt>
                <c:pt idx="194">
                  <c:v>-29.060256760000016</c:v>
                </c:pt>
                <c:pt idx="195">
                  <c:v>-29.07728222000003</c:v>
                </c:pt>
                <c:pt idx="196">
                  <c:v>-29.626822410000045</c:v>
                </c:pt>
                <c:pt idx="197">
                  <c:v>-29.345082660000116</c:v>
                </c:pt>
                <c:pt idx="198">
                  <c:v>-29.98548575999996</c:v>
                </c:pt>
                <c:pt idx="199">
                  <c:v>-30.05517273999999</c:v>
                </c:pt>
                <c:pt idx="200">
                  <c:v>-29.66489820000004</c:v>
                </c:pt>
                <c:pt idx="201">
                  <c:v>-29.87540371600005</c:v>
                </c:pt>
                <c:pt idx="202">
                  <c:v>-30.56793867900012</c:v>
                </c:pt>
                <c:pt idx="203">
                  <c:v>-29.6341904840001</c:v>
                </c:pt>
                <c:pt idx="204">
                  <c:v>-29.472434896000095</c:v>
                </c:pt>
                <c:pt idx="205">
                  <c:v>-30.080386363000116</c:v>
                </c:pt>
                <c:pt idx="206">
                  <c:v>-28.154331113000126</c:v>
                </c:pt>
                <c:pt idx="207">
                  <c:v>-30.217606769000213</c:v>
                </c:pt>
                <c:pt idx="208">
                  <c:v>-29.927774030000023</c:v>
                </c:pt>
                <c:pt idx="209">
                  <c:v>-30.148994710000125</c:v>
                </c:pt>
                <c:pt idx="210">
                  <c:v>-29.200412859999915</c:v>
                </c:pt>
                <c:pt idx="211">
                  <c:v>-30.799886889999925</c:v>
                </c:pt>
                <c:pt idx="213">
                  <c:v>-29.73554381000008</c:v>
                </c:pt>
                <c:pt idx="214">
                  <c:v>-28.78645001000018</c:v>
                </c:pt>
                <c:pt idx="215">
                  <c:v>-30.04202836000013</c:v>
                </c:pt>
                <c:pt idx="216">
                  <c:v>-29.45966739000005</c:v>
                </c:pt>
                <c:pt idx="217">
                  <c:v>-30.28106424000009</c:v>
                </c:pt>
                <c:pt idx="218">
                  <c:v>-30.18946621000009</c:v>
                </c:pt>
                <c:pt idx="219">
                  <c:v>-29.875567222999962</c:v>
                </c:pt>
                <c:pt idx="220">
                  <c:v>-30.821907353000142</c:v>
                </c:pt>
                <c:pt idx="221">
                  <c:v>-30.35675085200012</c:v>
                </c:pt>
                <c:pt idx="223">
                  <c:v>-30.417817222000053</c:v>
                </c:pt>
                <c:pt idx="224">
                  <c:v>-28.957396568000036</c:v>
                </c:pt>
                <c:pt idx="227">
                  <c:v>-30.861143180000113</c:v>
                </c:pt>
                <c:pt idx="228">
                  <c:v>-30.623993290000044</c:v>
                </c:pt>
                <c:pt idx="229">
                  <c:v>-30.29122416000007</c:v>
                </c:pt>
                <c:pt idx="230">
                  <c:v>-30.56016815999999</c:v>
                </c:pt>
                <c:pt idx="231">
                  <c:v>-29.399198609999985</c:v>
                </c:pt>
              </c:numCache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Hinode_alignment_trend_by_Shimi!$AK$7:$AK$238</c:f>
              <c:numCache>
                <c:ptCount val="232"/>
                <c:pt idx="6">
                  <c:v>-36.35287159999996</c:v>
                </c:pt>
                <c:pt idx="8">
                  <c:v>-35.72541179999985</c:v>
                </c:pt>
                <c:pt idx="9">
                  <c:v>-35.751149100000134</c:v>
                </c:pt>
                <c:pt idx="11">
                  <c:v>-35.878457000000026</c:v>
                </c:pt>
                <c:pt idx="13">
                  <c:v>-35.64741809999998</c:v>
                </c:pt>
                <c:pt idx="14">
                  <c:v>-35.49751979999985</c:v>
                </c:pt>
                <c:pt idx="15">
                  <c:v>-35.426028499999916</c:v>
                </c:pt>
                <c:pt idx="16">
                  <c:v>-35.01642299999992</c:v>
                </c:pt>
                <c:pt idx="18">
                  <c:v>-34.488444699999945</c:v>
                </c:pt>
                <c:pt idx="19">
                  <c:v>-33.9420027000001</c:v>
                </c:pt>
                <c:pt idx="20">
                  <c:v>-33.81918889999997</c:v>
                </c:pt>
                <c:pt idx="21">
                  <c:v>-34.12362689999998</c:v>
                </c:pt>
                <c:pt idx="22">
                  <c:v>-34.20548279999991</c:v>
                </c:pt>
                <c:pt idx="23">
                  <c:v>-33.85771919999979</c:v>
                </c:pt>
                <c:pt idx="24">
                  <c:v>-34.17852069999992</c:v>
                </c:pt>
                <c:pt idx="25">
                  <c:v>-34.008144800000196</c:v>
                </c:pt>
                <c:pt idx="26">
                  <c:v>-33.731114200000206</c:v>
                </c:pt>
                <c:pt idx="27">
                  <c:v>-34.24594169999989</c:v>
                </c:pt>
                <c:pt idx="28">
                  <c:v>-34.790886500000056</c:v>
                </c:pt>
                <c:pt idx="29">
                  <c:v>-35.22102289999975</c:v>
                </c:pt>
                <c:pt idx="36">
                  <c:v>-36.29165889999979</c:v>
                </c:pt>
                <c:pt idx="37">
                  <c:v>-36.63684920000003</c:v>
                </c:pt>
                <c:pt idx="39">
                  <c:v>-36.8108132000001</c:v>
                </c:pt>
                <c:pt idx="40">
                  <c:v>-36.82514630000003</c:v>
                </c:pt>
                <c:pt idx="41">
                  <c:v>-37.30364229999998</c:v>
                </c:pt>
                <c:pt idx="43">
                  <c:v>-35.470295100000044</c:v>
                </c:pt>
                <c:pt idx="44">
                  <c:v>-35.9983191</c:v>
                </c:pt>
                <c:pt idx="45">
                  <c:v>-36.97968869999977</c:v>
                </c:pt>
                <c:pt idx="46">
                  <c:v>-36.22809819999998</c:v>
                </c:pt>
                <c:pt idx="47">
                  <c:v>-35.97767909999993</c:v>
                </c:pt>
                <c:pt idx="48">
                  <c:v>-35.83076270000004</c:v>
                </c:pt>
                <c:pt idx="49">
                  <c:v>-35.36294900000007</c:v>
                </c:pt>
                <c:pt idx="50">
                  <c:v>-35.65436849999992</c:v>
                </c:pt>
                <c:pt idx="51">
                  <c:v>-34.547485899999856</c:v>
                </c:pt>
                <c:pt idx="52">
                  <c:v>-34.70485020000001</c:v>
                </c:pt>
                <c:pt idx="53">
                  <c:v>-34.433453500000155</c:v>
                </c:pt>
                <c:pt idx="54">
                  <c:v>-34.38878459999978</c:v>
                </c:pt>
                <c:pt idx="55">
                  <c:v>-35.0658719999999</c:v>
                </c:pt>
                <c:pt idx="56">
                  <c:v>-35.66545309999992</c:v>
                </c:pt>
                <c:pt idx="57">
                  <c:v>-36.12248839999995</c:v>
                </c:pt>
                <c:pt idx="58">
                  <c:v>-37.50121950000005</c:v>
                </c:pt>
                <c:pt idx="60">
                  <c:v>-36.98828679999997</c:v>
                </c:pt>
                <c:pt idx="61">
                  <c:v>-36.96442149999996</c:v>
                </c:pt>
                <c:pt idx="62">
                  <c:v>-37.53369119999991</c:v>
                </c:pt>
                <c:pt idx="63">
                  <c:v>-37.82178739999995</c:v>
                </c:pt>
                <c:pt idx="64">
                  <c:v>-37.713209000000006</c:v>
                </c:pt>
                <c:pt idx="65">
                  <c:v>-38.42475120000017</c:v>
                </c:pt>
                <c:pt idx="66">
                  <c:v>-38.702456700000084</c:v>
                </c:pt>
                <c:pt idx="67">
                  <c:v>-37.7294533999999</c:v>
                </c:pt>
                <c:pt idx="68">
                  <c:v>-37.76810929999988</c:v>
                </c:pt>
                <c:pt idx="69">
                  <c:v>-37.11535629999992</c:v>
                </c:pt>
                <c:pt idx="70">
                  <c:v>-37.51639279999972</c:v>
                </c:pt>
                <c:pt idx="71">
                  <c:v>-36.65010940000002</c:v>
                </c:pt>
                <c:pt idx="72">
                  <c:v>-36.320339300000114</c:v>
                </c:pt>
                <c:pt idx="73">
                  <c:v>-36.89304470000013</c:v>
                </c:pt>
                <c:pt idx="74">
                  <c:v>-36.02718240000013</c:v>
                </c:pt>
                <c:pt idx="75">
                  <c:v>-35.80776219999996</c:v>
                </c:pt>
                <c:pt idx="76">
                  <c:v>-35.52485120000006</c:v>
                </c:pt>
                <c:pt idx="77">
                  <c:v>-34.86404429999982</c:v>
                </c:pt>
                <c:pt idx="78">
                  <c:v>-35.097560199999975</c:v>
                </c:pt>
                <c:pt idx="79">
                  <c:v>-35.344297699999856</c:v>
                </c:pt>
                <c:pt idx="81">
                  <c:v>-34.42748719999997</c:v>
                </c:pt>
                <c:pt idx="83">
                  <c:v>-34.45445270000016</c:v>
                </c:pt>
                <c:pt idx="84">
                  <c:v>-34.9350330000002</c:v>
                </c:pt>
                <c:pt idx="86">
                  <c:v>-35.684602100000006</c:v>
                </c:pt>
                <c:pt idx="87">
                  <c:v>-35.82586279999987</c:v>
                </c:pt>
                <c:pt idx="88">
                  <c:v>-35.884704000000056</c:v>
                </c:pt>
                <c:pt idx="90">
                  <c:v>-36.735794499999884</c:v>
                </c:pt>
                <c:pt idx="91">
                  <c:v>-37.33561129999987</c:v>
                </c:pt>
                <c:pt idx="92">
                  <c:v>-37.31362739999986</c:v>
                </c:pt>
                <c:pt idx="93">
                  <c:v>-37.02915529999996</c:v>
                </c:pt>
                <c:pt idx="94">
                  <c:v>-37.47783079999988</c:v>
                </c:pt>
                <c:pt idx="95">
                  <c:v>-37.94102750000002</c:v>
                </c:pt>
                <c:pt idx="99">
                  <c:v>-38.61201299999993</c:v>
                </c:pt>
                <c:pt idx="100">
                  <c:v>-37.293922399999815</c:v>
                </c:pt>
                <c:pt idx="101">
                  <c:v>-34.09927779999987</c:v>
                </c:pt>
                <c:pt idx="102">
                  <c:v>-35.17588269999999</c:v>
                </c:pt>
                <c:pt idx="103">
                  <c:v>-34.33998299999996</c:v>
                </c:pt>
                <c:pt idx="104">
                  <c:v>-34.33777770000006</c:v>
                </c:pt>
                <c:pt idx="105">
                  <c:v>-36.050474099999974</c:v>
                </c:pt>
                <c:pt idx="106">
                  <c:v>-35.774349200000074</c:v>
                </c:pt>
                <c:pt idx="107">
                  <c:v>-35.15963519999991</c:v>
                </c:pt>
                <c:pt idx="109">
                  <c:v>-34.48912659999985</c:v>
                </c:pt>
                <c:pt idx="112">
                  <c:v>-35.34596009999996</c:v>
                </c:pt>
                <c:pt idx="115">
                  <c:v>-35.83759010000006</c:v>
                </c:pt>
                <c:pt idx="117">
                  <c:v>-35.533139899999924</c:v>
                </c:pt>
                <c:pt idx="119">
                  <c:v>-37.74045839999985</c:v>
                </c:pt>
                <c:pt idx="120">
                  <c:v>-37.33915519999994</c:v>
                </c:pt>
                <c:pt idx="121">
                  <c:v>-35.839289099999746</c:v>
                </c:pt>
                <c:pt idx="122">
                  <c:v>-35.271154199999955</c:v>
                </c:pt>
                <c:pt idx="123">
                  <c:v>-35.010634499999924</c:v>
                </c:pt>
                <c:pt idx="124">
                  <c:v>-36.01853329999983</c:v>
                </c:pt>
                <c:pt idx="125">
                  <c:v>-36.295196900000064</c:v>
                </c:pt>
                <c:pt idx="126">
                  <c:v>-36.00129079999988</c:v>
                </c:pt>
                <c:pt idx="127">
                  <c:v>-35.345016299999884</c:v>
                </c:pt>
                <c:pt idx="128">
                  <c:v>-34.87343880000003</c:v>
                </c:pt>
                <c:pt idx="129">
                  <c:v>-34.28076189999979</c:v>
                </c:pt>
                <c:pt idx="130">
                  <c:v>-33.24142299999983</c:v>
                </c:pt>
                <c:pt idx="132">
                  <c:v>-34.47831980000001</c:v>
                </c:pt>
                <c:pt idx="133">
                  <c:v>-34.16291509999985</c:v>
                </c:pt>
                <c:pt idx="134">
                  <c:v>-33.49439040000004</c:v>
                </c:pt>
                <c:pt idx="135">
                  <c:v>-33.74460049999993</c:v>
                </c:pt>
                <c:pt idx="137">
                  <c:v>-33.46505900000011</c:v>
                </c:pt>
                <c:pt idx="138">
                  <c:v>-33.638368600000035</c:v>
                </c:pt>
                <c:pt idx="140">
                  <c:v>-34.155450299999984</c:v>
                </c:pt>
                <c:pt idx="141">
                  <c:v>-34.14025159999983</c:v>
                </c:pt>
                <c:pt idx="142">
                  <c:v>-34.54408360000002</c:v>
                </c:pt>
                <c:pt idx="144">
                  <c:v>-35.67236609999986</c:v>
                </c:pt>
                <c:pt idx="145">
                  <c:v>-36.17696990000002</c:v>
                </c:pt>
                <c:pt idx="148">
                  <c:v>-33.48425709999992</c:v>
                </c:pt>
                <c:pt idx="149">
                  <c:v>-33.908536899999945</c:v>
                </c:pt>
                <c:pt idx="150">
                  <c:v>-34.05271579999976</c:v>
                </c:pt>
                <c:pt idx="151">
                  <c:v>-36.77689149999992</c:v>
                </c:pt>
                <c:pt idx="152">
                  <c:v>-36.99920019999979</c:v>
                </c:pt>
                <c:pt idx="153">
                  <c:v>-35.748013900000046</c:v>
                </c:pt>
                <c:pt idx="154">
                  <c:v>-36.25355939999986</c:v>
                </c:pt>
                <c:pt idx="157">
                  <c:v>-34.15301220000015</c:v>
                </c:pt>
                <c:pt idx="159">
                  <c:v>-33.312170599999945</c:v>
                </c:pt>
                <c:pt idx="160">
                  <c:v>-33.63448649999998</c:v>
                </c:pt>
                <c:pt idx="161">
                  <c:v>-33.35283479999998</c:v>
                </c:pt>
                <c:pt idx="162">
                  <c:v>-33.52207989999977</c:v>
                </c:pt>
                <c:pt idx="163">
                  <c:v>-34.267713599999865</c:v>
                </c:pt>
                <c:pt idx="164">
                  <c:v>-33.99160840000002</c:v>
                </c:pt>
                <c:pt idx="165">
                  <c:v>-34.30901680000011</c:v>
                </c:pt>
                <c:pt idx="166">
                  <c:v>-35.794947399999955</c:v>
                </c:pt>
                <c:pt idx="167">
                  <c:v>-35.316334799999936</c:v>
                </c:pt>
                <c:pt idx="168">
                  <c:v>-36.56235309999988</c:v>
                </c:pt>
                <c:pt idx="169">
                  <c:v>-35.89030620000017</c:v>
                </c:pt>
                <c:pt idx="170">
                  <c:v>-35.59231439999985</c:v>
                </c:pt>
                <c:pt idx="171">
                  <c:v>-36.9187015</c:v>
                </c:pt>
                <c:pt idx="172">
                  <c:v>-36.75586749999991</c:v>
                </c:pt>
                <c:pt idx="173">
                  <c:v>-36.45786069999997</c:v>
                </c:pt>
                <c:pt idx="174">
                  <c:v>-36.589484600000105</c:v>
                </c:pt>
                <c:pt idx="175">
                  <c:v>-37.201893699999914</c:v>
                </c:pt>
                <c:pt idx="176">
                  <c:v>-35.17590920000009</c:v>
                </c:pt>
                <c:pt idx="177">
                  <c:v>-36.43158590000019</c:v>
                </c:pt>
                <c:pt idx="178">
                  <c:v>-35.120435600000064</c:v>
                </c:pt>
                <c:pt idx="179">
                  <c:v>-34.32846189999998</c:v>
                </c:pt>
                <c:pt idx="180">
                  <c:v>-34.36418110000011</c:v>
                </c:pt>
                <c:pt idx="181">
                  <c:v>-33.70611289999988</c:v>
                </c:pt>
                <c:pt idx="182">
                  <c:v>-33.37194669999997</c:v>
                </c:pt>
                <c:pt idx="183">
                  <c:v>-32.768732899999804</c:v>
                </c:pt>
                <c:pt idx="184">
                  <c:v>-33.84647580000001</c:v>
                </c:pt>
                <c:pt idx="185">
                  <c:v>-33.66090499999984</c:v>
                </c:pt>
                <c:pt idx="186">
                  <c:v>-34.32188150000013</c:v>
                </c:pt>
                <c:pt idx="187">
                  <c:v>-35.26408489999983</c:v>
                </c:pt>
                <c:pt idx="188">
                  <c:v>-35.643433800000025</c:v>
                </c:pt>
                <c:pt idx="189">
                  <c:v>-36.11840050000001</c:v>
                </c:pt>
                <c:pt idx="190">
                  <c:v>-36.49848920000011</c:v>
                </c:pt>
                <c:pt idx="191">
                  <c:v>-36.68002660000002</c:v>
                </c:pt>
                <c:pt idx="192">
                  <c:v>-37.021270599999866</c:v>
                </c:pt>
                <c:pt idx="193">
                  <c:v>-36.37623899999994</c:v>
                </c:pt>
                <c:pt idx="194">
                  <c:v>-37.354738</c:v>
                </c:pt>
                <c:pt idx="195">
                  <c:v>-36.87638689999994</c:v>
                </c:pt>
                <c:pt idx="196">
                  <c:v>-36.24494959999993</c:v>
                </c:pt>
                <c:pt idx="197">
                  <c:v>-36.28166599999997</c:v>
                </c:pt>
                <c:pt idx="198">
                  <c:v>-35.70788999999991</c:v>
                </c:pt>
                <c:pt idx="199">
                  <c:v>-35.53516519999994</c:v>
                </c:pt>
                <c:pt idx="200">
                  <c:v>-34.707014699999945</c:v>
                </c:pt>
                <c:pt idx="201">
                  <c:v>-33.51465989999997</c:v>
                </c:pt>
                <c:pt idx="202">
                  <c:v>-33.34489550000001</c:v>
                </c:pt>
                <c:pt idx="203">
                  <c:v>-33.18588799999998</c:v>
                </c:pt>
                <c:pt idx="204">
                  <c:v>-33.42783849999989</c:v>
                </c:pt>
                <c:pt idx="205">
                  <c:v>-33.23223549999989</c:v>
                </c:pt>
                <c:pt idx="206">
                  <c:v>-33.51216649999992</c:v>
                </c:pt>
                <c:pt idx="207">
                  <c:v>-34.004475999999954</c:v>
                </c:pt>
                <c:pt idx="208">
                  <c:v>-35.04951029999995</c:v>
                </c:pt>
                <c:pt idx="209">
                  <c:v>-35.225684799999954</c:v>
                </c:pt>
                <c:pt idx="210">
                  <c:v>-35.857183799999916</c:v>
                </c:pt>
                <c:pt idx="211">
                  <c:v>-36.14817089999997</c:v>
                </c:pt>
                <c:pt idx="213">
                  <c:v>-36.56536149999988</c:v>
                </c:pt>
                <c:pt idx="214">
                  <c:v>-36.451640699999984</c:v>
                </c:pt>
                <c:pt idx="216">
                  <c:v>-36.51558329999989</c:v>
                </c:pt>
                <c:pt idx="217">
                  <c:v>-35.43967259999988</c:v>
                </c:pt>
                <c:pt idx="218">
                  <c:v>-35.24892899999986</c:v>
                </c:pt>
                <c:pt idx="219">
                  <c:v>-34.57601260000001</c:v>
                </c:pt>
                <c:pt idx="220">
                  <c:v>-34.296684899999946</c:v>
                </c:pt>
                <c:pt idx="221">
                  <c:v>-33.947375700000066</c:v>
                </c:pt>
                <c:pt idx="223">
                  <c:v>-32.869815100000096</c:v>
                </c:pt>
                <c:pt idx="224">
                  <c:v>-35.29930349999995</c:v>
                </c:pt>
                <c:pt idx="227">
                  <c:v>-34.95410409999988</c:v>
                </c:pt>
                <c:pt idx="228">
                  <c:v>-35.19227210000008</c:v>
                </c:pt>
                <c:pt idx="229">
                  <c:v>-35.40916019999986</c:v>
                </c:pt>
                <c:pt idx="230">
                  <c:v>-35.584351099999935</c:v>
                </c:pt>
                <c:pt idx="231">
                  <c:v>-36.654170699999895</c:v>
                </c:pt>
              </c:numCache>
            </c:numRef>
          </c:xVal>
          <c:yVal>
            <c:numRef>
              <c:f>Hinode_alignment_trend_by_Shimi!$AI$7:$AI$238</c:f>
              <c:numCache>
                <c:ptCount val="232"/>
                <c:pt idx="6">
                  <c:v>-23.11113922000004</c:v>
                </c:pt>
                <c:pt idx="8">
                  <c:v>-23.077851310000028</c:v>
                </c:pt>
                <c:pt idx="9">
                  <c:v>-23.524084320000043</c:v>
                </c:pt>
                <c:pt idx="11">
                  <c:v>-24.01874650000002</c:v>
                </c:pt>
                <c:pt idx="13">
                  <c:v>-24.14313264000009</c:v>
                </c:pt>
                <c:pt idx="14">
                  <c:v>-23.831490140000028</c:v>
                </c:pt>
                <c:pt idx="15">
                  <c:v>-24.96783174999996</c:v>
                </c:pt>
                <c:pt idx="16">
                  <c:v>-24.32840125000007</c:v>
                </c:pt>
                <c:pt idx="18">
                  <c:v>-23.124531540000135</c:v>
                </c:pt>
                <c:pt idx="19">
                  <c:v>-23.855475980000165</c:v>
                </c:pt>
                <c:pt idx="20">
                  <c:v>-24.071326920000047</c:v>
                </c:pt>
                <c:pt idx="21">
                  <c:v>-23.56065916</c:v>
                </c:pt>
                <c:pt idx="22">
                  <c:v>-25.938571619999948</c:v>
                </c:pt>
                <c:pt idx="23">
                  <c:v>-24.15682077700012</c:v>
                </c:pt>
                <c:pt idx="24">
                  <c:v>-25.51763174000007</c:v>
                </c:pt>
                <c:pt idx="25">
                  <c:v>-25.279340570000045</c:v>
                </c:pt>
                <c:pt idx="26">
                  <c:v>-25.572233110000184</c:v>
                </c:pt>
                <c:pt idx="27">
                  <c:v>-25.33657282000013</c:v>
                </c:pt>
                <c:pt idx="28">
                  <c:v>-25.122897970000054</c:v>
                </c:pt>
                <c:pt idx="36">
                  <c:v>-25.059080440000116</c:v>
                </c:pt>
                <c:pt idx="37">
                  <c:v>-24.542615640000122</c:v>
                </c:pt>
                <c:pt idx="39">
                  <c:v>-24.592796770000064</c:v>
                </c:pt>
                <c:pt idx="40">
                  <c:v>-24.440225670000018</c:v>
                </c:pt>
                <c:pt idx="41">
                  <c:v>-25.31792826000003</c:v>
                </c:pt>
                <c:pt idx="43">
                  <c:v>-27.427210700000046</c:v>
                </c:pt>
                <c:pt idx="44">
                  <c:v>-27.96674126000005</c:v>
                </c:pt>
                <c:pt idx="45">
                  <c:v>-27.248980950000146</c:v>
                </c:pt>
                <c:pt idx="46">
                  <c:v>-26.824410830000147</c:v>
                </c:pt>
                <c:pt idx="47">
                  <c:v>-27.049360310000225</c:v>
                </c:pt>
                <c:pt idx="48">
                  <c:v>-26.653964050000127</c:v>
                </c:pt>
                <c:pt idx="49">
                  <c:v>-27.770032949999973</c:v>
                </c:pt>
                <c:pt idx="50">
                  <c:v>-26.532617620000224</c:v>
                </c:pt>
                <c:pt idx="51">
                  <c:v>-27.018273020000038</c:v>
                </c:pt>
                <c:pt idx="52">
                  <c:v>-25.952873446000126</c:v>
                </c:pt>
                <c:pt idx="53">
                  <c:v>-27.27085070999999</c:v>
                </c:pt>
                <c:pt idx="54">
                  <c:v>-27.568242003000023</c:v>
                </c:pt>
                <c:pt idx="55">
                  <c:v>-26.811883735000038</c:v>
                </c:pt>
                <c:pt idx="56">
                  <c:v>-27.702804150000134</c:v>
                </c:pt>
                <c:pt idx="57">
                  <c:v>-28.022137480000083</c:v>
                </c:pt>
                <c:pt idx="58">
                  <c:v>-26.738188140000034</c:v>
                </c:pt>
                <c:pt idx="59">
                  <c:v>-26.812680000000114</c:v>
                </c:pt>
                <c:pt idx="60">
                  <c:v>-27.077525800000103</c:v>
                </c:pt>
                <c:pt idx="61">
                  <c:v>-27.460646569999994</c:v>
                </c:pt>
                <c:pt idx="62">
                  <c:v>-27.25794429000007</c:v>
                </c:pt>
                <c:pt idx="63">
                  <c:v>-27.046714860000066</c:v>
                </c:pt>
                <c:pt idx="66">
                  <c:v>-26.802464450000116</c:v>
                </c:pt>
                <c:pt idx="67">
                  <c:v>-27.07682251000017</c:v>
                </c:pt>
                <c:pt idx="68">
                  <c:v>-27.198278869999967</c:v>
                </c:pt>
                <c:pt idx="69">
                  <c:v>-28.498222310000187</c:v>
                </c:pt>
                <c:pt idx="70">
                  <c:v>-26.772854660000007</c:v>
                </c:pt>
                <c:pt idx="71">
                  <c:v>-28.577740800000015</c:v>
                </c:pt>
                <c:pt idx="72">
                  <c:v>-27.830633220000095</c:v>
                </c:pt>
                <c:pt idx="73">
                  <c:v>-28.009742790000132</c:v>
                </c:pt>
                <c:pt idx="74">
                  <c:v>-27.292094310000152</c:v>
                </c:pt>
                <c:pt idx="75">
                  <c:v>-27.062865020000004</c:v>
                </c:pt>
                <c:pt idx="76">
                  <c:v>-27.555800356000077</c:v>
                </c:pt>
                <c:pt idx="77">
                  <c:v>-28.11853120900014</c:v>
                </c:pt>
                <c:pt idx="78">
                  <c:v>-27.388434469000117</c:v>
                </c:pt>
                <c:pt idx="79">
                  <c:v>-27.04281380400016</c:v>
                </c:pt>
                <c:pt idx="81">
                  <c:v>-28.060780465999983</c:v>
                </c:pt>
                <c:pt idx="82">
                  <c:v>-27.608659257999875</c:v>
                </c:pt>
                <c:pt idx="83">
                  <c:v>-28.089329590000034</c:v>
                </c:pt>
                <c:pt idx="84">
                  <c:v>-28.231976666000037</c:v>
                </c:pt>
                <c:pt idx="86">
                  <c:v>-27.986078398000018</c:v>
                </c:pt>
                <c:pt idx="88">
                  <c:v>-27.500302386000158</c:v>
                </c:pt>
                <c:pt idx="89">
                  <c:v>-28.17950789000008</c:v>
                </c:pt>
                <c:pt idx="90">
                  <c:v>-28.2837186700001</c:v>
                </c:pt>
                <c:pt idx="91">
                  <c:v>-27.071010279999996</c:v>
                </c:pt>
                <c:pt idx="92">
                  <c:v>-27.332932819999996</c:v>
                </c:pt>
                <c:pt idx="93">
                  <c:v>-27.704451919999997</c:v>
                </c:pt>
                <c:pt idx="94">
                  <c:v>-27.44033697000009</c:v>
                </c:pt>
                <c:pt idx="95">
                  <c:v>-27.68336879000003</c:v>
                </c:pt>
                <c:pt idx="99">
                  <c:v>-26.895033600000033</c:v>
                </c:pt>
                <c:pt idx="101">
                  <c:v>-28.660972210000182</c:v>
                </c:pt>
                <c:pt idx="102">
                  <c:v>-27.42662934000009</c:v>
                </c:pt>
                <c:pt idx="103">
                  <c:v>-28.091135620000045</c:v>
                </c:pt>
                <c:pt idx="104">
                  <c:v>-27.854215830000044</c:v>
                </c:pt>
                <c:pt idx="105">
                  <c:v>-27.448823148000088</c:v>
                </c:pt>
                <c:pt idx="106">
                  <c:v>-27.59351985000012</c:v>
                </c:pt>
                <c:pt idx="107">
                  <c:v>-27.240435874000127</c:v>
                </c:pt>
                <c:pt idx="109">
                  <c:v>-27.65706220000004</c:v>
                </c:pt>
                <c:pt idx="112">
                  <c:v>-27.26268262400015</c:v>
                </c:pt>
                <c:pt idx="113">
                  <c:v>-27.481361298000138</c:v>
                </c:pt>
                <c:pt idx="115">
                  <c:v>-27.572953789000167</c:v>
                </c:pt>
                <c:pt idx="117">
                  <c:v>-27.729058374000033</c:v>
                </c:pt>
                <c:pt idx="119">
                  <c:v>-27.837094965000006</c:v>
                </c:pt>
                <c:pt idx="120">
                  <c:v>-27.775447439999994</c:v>
                </c:pt>
                <c:pt idx="121">
                  <c:v>-28.185456760000193</c:v>
                </c:pt>
                <c:pt idx="122">
                  <c:v>-28.777863540000226</c:v>
                </c:pt>
                <c:pt idx="123">
                  <c:v>-29.035749670000087</c:v>
                </c:pt>
                <c:pt idx="124">
                  <c:v>-27.126911990000053</c:v>
                </c:pt>
                <c:pt idx="125">
                  <c:v>-27.705602050000152</c:v>
                </c:pt>
                <c:pt idx="126">
                  <c:v>-28.877983380000046</c:v>
                </c:pt>
                <c:pt idx="127">
                  <c:v>-28.15412239000011</c:v>
                </c:pt>
                <c:pt idx="128">
                  <c:v>-29.446849749999956</c:v>
                </c:pt>
                <c:pt idx="129">
                  <c:v>-29.89628396000012</c:v>
                </c:pt>
                <c:pt idx="130">
                  <c:v>-29.7437448500001</c:v>
                </c:pt>
                <c:pt idx="132">
                  <c:v>-28.66976347100001</c:v>
                </c:pt>
                <c:pt idx="133">
                  <c:v>-28.496818013000166</c:v>
                </c:pt>
                <c:pt idx="134">
                  <c:v>-28.70075964099999</c:v>
                </c:pt>
                <c:pt idx="135">
                  <c:v>-28.584559644000024</c:v>
                </c:pt>
                <c:pt idx="137">
                  <c:v>-29.109077931</c:v>
                </c:pt>
                <c:pt idx="138">
                  <c:v>-28.725971878999985</c:v>
                </c:pt>
                <c:pt idx="140">
                  <c:v>-28.96799934000012</c:v>
                </c:pt>
                <c:pt idx="141">
                  <c:v>-28.288262887000087</c:v>
                </c:pt>
                <c:pt idx="142">
                  <c:v>-28.881854762000103</c:v>
                </c:pt>
                <c:pt idx="144">
                  <c:v>-28.769698606000134</c:v>
                </c:pt>
                <c:pt idx="145">
                  <c:v>-28.757687863000115</c:v>
                </c:pt>
                <c:pt idx="148">
                  <c:v>-30.11470785600011</c:v>
                </c:pt>
                <c:pt idx="149">
                  <c:v>-30.036784761000035</c:v>
                </c:pt>
                <c:pt idx="150">
                  <c:v>-28.47238401100003</c:v>
                </c:pt>
                <c:pt idx="151">
                  <c:v>-28.233299150000107</c:v>
                </c:pt>
                <c:pt idx="152">
                  <c:v>-28.796594709000033</c:v>
                </c:pt>
                <c:pt idx="153">
                  <c:v>-29.44355185900008</c:v>
                </c:pt>
                <c:pt idx="154">
                  <c:v>-30.10587678200011</c:v>
                </c:pt>
                <c:pt idx="157">
                  <c:v>-29.037537109000027</c:v>
                </c:pt>
                <c:pt idx="159">
                  <c:v>-28.607558372000085</c:v>
                </c:pt>
                <c:pt idx="160">
                  <c:v>-29.027968707000127</c:v>
                </c:pt>
                <c:pt idx="161">
                  <c:v>-29.575626601000067</c:v>
                </c:pt>
                <c:pt idx="162">
                  <c:v>-29.255863579999982</c:v>
                </c:pt>
                <c:pt idx="163">
                  <c:v>-28.85474101000011</c:v>
                </c:pt>
                <c:pt idx="164">
                  <c:v>-28.82582109900011</c:v>
                </c:pt>
                <c:pt idx="165">
                  <c:v>-11.740966681000032</c:v>
                </c:pt>
                <c:pt idx="166">
                  <c:v>-29.093499249000047</c:v>
                </c:pt>
                <c:pt idx="167">
                  <c:v>-29.506368983000016</c:v>
                </c:pt>
                <c:pt idx="168">
                  <c:v>-29.352725203999967</c:v>
                </c:pt>
                <c:pt idx="169">
                  <c:v>-29.347020290000046</c:v>
                </c:pt>
                <c:pt idx="170">
                  <c:v>-29.836608912000088</c:v>
                </c:pt>
                <c:pt idx="171">
                  <c:v>-28.8429664250001</c:v>
                </c:pt>
                <c:pt idx="172">
                  <c:v>-28.73700167700008</c:v>
                </c:pt>
                <c:pt idx="173">
                  <c:v>-28.656348579999985</c:v>
                </c:pt>
                <c:pt idx="174">
                  <c:v>-29.050751885000068</c:v>
                </c:pt>
                <c:pt idx="175">
                  <c:v>-28.33076697399997</c:v>
                </c:pt>
                <c:pt idx="176">
                  <c:v>-29.456235464000088</c:v>
                </c:pt>
                <c:pt idx="177">
                  <c:v>-29.304919753000036</c:v>
                </c:pt>
                <c:pt idx="178">
                  <c:v>-29.603217866000136</c:v>
                </c:pt>
                <c:pt idx="179">
                  <c:v>-29.850062855000033</c:v>
                </c:pt>
                <c:pt idx="180">
                  <c:v>-29.32420688600007</c:v>
                </c:pt>
                <c:pt idx="181">
                  <c:v>-28.960424544000034</c:v>
                </c:pt>
                <c:pt idx="182">
                  <c:v>-28.87679148999996</c:v>
                </c:pt>
                <c:pt idx="183">
                  <c:v>-29.706883116000085</c:v>
                </c:pt>
                <c:pt idx="184">
                  <c:v>-29.590502960000094</c:v>
                </c:pt>
                <c:pt idx="185">
                  <c:v>-28.881713207000075</c:v>
                </c:pt>
                <c:pt idx="186">
                  <c:v>-29.2690975390002</c:v>
                </c:pt>
                <c:pt idx="187">
                  <c:v>-29.010059450000085</c:v>
                </c:pt>
                <c:pt idx="188">
                  <c:v>-29.928198207000037</c:v>
                </c:pt>
                <c:pt idx="189">
                  <c:v>-29.873040726</c:v>
                </c:pt>
                <c:pt idx="190">
                  <c:v>-30.01253703700013</c:v>
                </c:pt>
                <c:pt idx="191">
                  <c:v>-29.062874578000105</c:v>
                </c:pt>
                <c:pt idx="192">
                  <c:v>-29.036185641000202</c:v>
                </c:pt>
                <c:pt idx="193">
                  <c:v>-29.541849318999994</c:v>
                </c:pt>
                <c:pt idx="194">
                  <c:v>-29.214348760000007</c:v>
                </c:pt>
                <c:pt idx="195">
                  <c:v>-29.25370581599998</c:v>
                </c:pt>
                <c:pt idx="196">
                  <c:v>-29.52503337600001</c:v>
                </c:pt>
                <c:pt idx="197">
                  <c:v>-29.36863819200005</c:v>
                </c:pt>
                <c:pt idx="198">
                  <c:v>-29.984835963000023</c:v>
                </c:pt>
                <c:pt idx="199">
                  <c:v>-30.022630361999973</c:v>
                </c:pt>
                <c:pt idx="200">
                  <c:v>-29.416019177000067</c:v>
                </c:pt>
                <c:pt idx="201">
                  <c:v>-29.525768636000066</c:v>
                </c:pt>
                <c:pt idx="202">
                  <c:v>-29.85572435800009</c:v>
                </c:pt>
                <c:pt idx="203">
                  <c:v>-29.565422471000147</c:v>
                </c:pt>
                <c:pt idx="204">
                  <c:v>-29.528261673000088</c:v>
                </c:pt>
                <c:pt idx="205">
                  <c:v>-29.63721742000007</c:v>
                </c:pt>
                <c:pt idx="206">
                  <c:v>-28.071408628000086</c:v>
                </c:pt>
                <c:pt idx="207">
                  <c:v>-29.7187582050002</c:v>
                </c:pt>
                <c:pt idx="208">
                  <c:v>-29.472717654999997</c:v>
                </c:pt>
                <c:pt idx="209">
                  <c:v>-29.71775088800007</c:v>
                </c:pt>
                <c:pt idx="210">
                  <c:v>-29.491667058000075</c:v>
                </c:pt>
                <c:pt idx="211">
                  <c:v>-30.705466939000075</c:v>
                </c:pt>
                <c:pt idx="213">
                  <c:v>-29.83520197100006</c:v>
                </c:pt>
                <c:pt idx="214">
                  <c:v>-28.91325118000009</c:v>
                </c:pt>
                <c:pt idx="215">
                  <c:v>-29.81032436099997</c:v>
                </c:pt>
                <c:pt idx="216">
                  <c:v>-29.450725078000005</c:v>
                </c:pt>
                <c:pt idx="217">
                  <c:v>-30.2640621810001</c:v>
                </c:pt>
                <c:pt idx="218">
                  <c:v>-30.002120569000112</c:v>
                </c:pt>
                <c:pt idx="219">
                  <c:v>-29.915632680000044</c:v>
                </c:pt>
                <c:pt idx="220">
                  <c:v>-30.254323126000145</c:v>
                </c:pt>
                <c:pt idx="221">
                  <c:v>-29.79188044600005</c:v>
                </c:pt>
                <c:pt idx="223">
                  <c:v>-30.519262907000098</c:v>
                </c:pt>
                <c:pt idx="224">
                  <c:v>-29.169870916000036</c:v>
                </c:pt>
                <c:pt idx="227">
                  <c:v>-30.682381482000096</c:v>
                </c:pt>
                <c:pt idx="228">
                  <c:v>-30.693355916000087</c:v>
                </c:pt>
                <c:pt idx="229">
                  <c:v>-30.12502952400007</c:v>
                </c:pt>
                <c:pt idx="230">
                  <c:v>-30.575750859000095</c:v>
                </c:pt>
                <c:pt idx="231">
                  <c:v>-29.465645170000016</c:v>
                </c:pt>
              </c:numCache>
            </c:numRef>
          </c:yVal>
          <c:smooth val="0"/>
        </c:ser>
        <c:axId val="5076278"/>
        <c:axId val="45686503"/>
      </c:scatterChart>
      <c:valAx>
        <c:axId val="5076278"/>
        <c:scaling>
          <c:orientation val="minMax"/>
          <c:max val="-35"/>
          <c:min val="-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6503"/>
        <c:crossesAt val="-28"/>
        <c:crossBetween val="midCat"/>
        <c:dispUnits/>
      </c:valAx>
      <c:valAx>
        <c:axId val="45686503"/>
        <c:scaling>
          <c:orientation val="minMax"/>
          <c:max val="-21"/>
          <c:min val="-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6278"/>
        <c:crossesAt val="-42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4"/>
          <c:w val="0.2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"/>
          <c:y val="0.02025"/>
          <c:w val="0.861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trend'!$AH$7:$AH$70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trend'!$AI$7:$AI$70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strRef>
              <c:f>'Non-eclipse trend'!$A$73:$A$85</c:f>
              <c:strCache/>
            </c:strRef>
          </c:xVal>
          <c:yVal>
            <c:numRef>
              <c:f>'Non-eclipse trend'!$G$73:$G$85</c:f>
              <c:numCache/>
            </c:numRef>
          </c:yVal>
          <c:smooth val="0"/>
        </c:ser>
        <c:axId val="8525344"/>
        <c:axId val="9619233"/>
      </c:scatterChart>
      <c:valAx>
        <c:axId val="8525344"/>
        <c:scaling>
          <c:orientation val="minMax"/>
          <c:min val="38980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619233"/>
        <c:crossesAt val="-32"/>
        <c:crossBetween val="midCat"/>
        <c:dispUnits/>
        <c:majorUnit val="30"/>
      </c:valAx>
      <c:valAx>
        <c:axId val="9619233"/>
        <c:scaling>
          <c:orientation val="minMax"/>
          <c:max val="-22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525344"/>
        <c:crossesAt val="3898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1075"/>
          <c:w val="0.85775"/>
          <c:h val="0.98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trend'!$AJ$7:$AJ$70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trend'!$AK$7:$AK$70</c:f>
              <c:numCache/>
            </c:numRef>
          </c:yVal>
          <c:smooth val="0"/>
        </c:ser>
        <c:ser>
          <c:idx val="2"/>
          <c:order val="2"/>
          <c:tx>
            <c:v>Sunspot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strRef>
              <c:f>'Non-eclipse trend'!$A$73:$A$85</c:f>
              <c:strCache/>
            </c:strRef>
          </c:xVal>
          <c:yVal>
            <c:numRef>
              <c:f>'Non-eclipse trend'!$F$73:$F$85</c:f>
              <c:numCache/>
            </c:numRef>
          </c:yVal>
          <c:smooth val="0"/>
        </c:ser>
        <c:axId val="19464234"/>
        <c:axId val="40960379"/>
      </c:scatterChart>
      <c:valAx>
        <c:axId val="19464234"/>
        <c:scaling>
          <c:orientation val="minMax"/>
          <c:min val="38980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-41"/>
        <c:crossBetween val="midCat"/>
        <c:dispUnits/>
        <c:majorUnit val="30"/>
      </c:valAx>
      <c:valAx>
        <c:axId val="40960379"/>
        <c:scaling>
          <c:orientation val="minMax"/>
          <c:max val="-31"/>
          <c:min val="-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464234"/>
        <c:crossesAt val="3898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XANG (N-S) at AOL=0</a:t>
            </a:r>
          </a:p>
        </c:rich>
      </c:tx>
      <c:layout>
        <c:manualLayout>
          <c:xMode val="factor"/>
          <c:yMode val="factor"/>
          <c:x val="0.00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049"/>
          <c:w val="0.884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trend'!$AN$8:$AN$70</c:f>
              <c:numCache/>
            </c:numRef>
          </c:yVal>
          <c:smooth val="0"/>
        </c:ser>
        <c:axId val="33099092"/>
        <c:axId val="29456373"/>
      </c:scatterChart>
      <c:valAx>
        <c:axId val="3309909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6373"/>
        <c:crossesAt val="-1045"/>
        <c:crossBetween val="midCat"/>
        <c:dispUnits/>
      </c:valAx>
      <c:valAx>
        <c:axId val="29456373"/>
        <c:scaling>
          <c:orientation val="minMax"/>
          <c:max val="-1025"/>
          <c:min val="-1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909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8365"/>
          <c:w val="0.161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XANG (N-S) at AOL=0</a:t>
            </a:r>
          </a:p>
        </c:rich>
      </c:tx>
      <c:layout>
        <c:manualLayout>
          <c:xMode val="factor"/>
          <c:yMode val="factor"/>
          <c:x val="0.01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0.0435"/>
          <c:w val="0.88925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trend'!$AP$8:$AP$70</c:f>
              <c:numCache/>
            </c:numRef>
          </c:yVal>
          <c:smooth val="0"/>
        </c:ser>
        <c:axId val="63780766"/>
        <c:axId val="37155983"/>
      </c:scatterChart>
      <c:valAx>
        <c:axId val="6378076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At val="-875"/>
        <c:crossBetween val="midCat"/>
        <c:dispUnits/>
      </c:valAx>
      <c:valAx>
        <c:axId val="37155983"/>
        <c:scaling>
          <c:orientation val="minMax"/>
          <c:max val="-845"/>
          <c:min val="-8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76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325"/>
          <c:w val="0.16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YANG (E-W) at AOL=0</a:t>
            </a:r>
          </a:p>
        </c:rich>
      </c:tx>
      <c:layout>
        <c:manualLayout>
          <c:xMode val="factor"/>
          <c:yMode val="factor"/>
          <c:x val="0.011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0.04875"/>
          <c:w val="0.88925"/>
          <c:h val="0.9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trend'!$AU$8:$AU$70</c:f>
              <c:numCache/>
            </c:numRef>
          </c:yVal>
          <c:smooth val="0"/>
        </c:ser>
        <c:axId val="65968392"/>
        <c:axId val="56844617"/>
      </c:scatterChart>
      <c:valAx>
        <c:axId val="6596839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17"/>
        <c:crossesAt val="1000"/>
        <c:crossBetween val="midCat"/>
        <c:dispUnits/>
      </c:valAx>
      <c:valAx>
        <c:axId val="56844617"/>
        <c:scaling>
          <c:orientation val="minMax"/>
          <c:max val="1020"/>
          <c:min val="10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39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1"/>
          <c:w val="0.160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N-S</a:t>
            </a:r>
          </a:p>
        </c:rich>
      </c:tx>
      <c:layout>
        <c:manualLayout>
          <c:xMode val="factor"/>
          <c:yMode val="factor"/>
          <c:x val="0.073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5"/>
          <c:w val="0.942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SOT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Hinode_alignment_trend_by_Shimi!$X$13:$X$238</c:f>
              <c:numCache/>
            </c:numRef>
          </c:yVal>
          <c:smooth val="0"/>
        </c:ser>
        <c:ser>
          <c:idx val="1"/>
          <c:order val="1"/>
          <c:tx>
            <c:v>SOT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Hinode_alignment_trend_by_Shimi!$Y$13:$Y$238</c:f>
              <c:numCache/>
            </c:numRef>
          </c:yVal>
          <c:smooth val="0"/>
        </c:ser>
        <c:axId val="58351588"/>
        <c:axId val="55402245"/>
      </c:scatterChart>
      <c:valAx>
        <c:axId val="58351588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-970"/>
        <c:crossBetween val="midCat"/>
        <c:dispUnits/>
      </c:valAx>
      <c:valAx>
        <c:axId val="55402245"/>
        <c:scaling>
          <c:orientation val="minMax"/>
          <c:max val="-880"/>
          <c:min val="-9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82625"/>
          <c:w val="0.241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YANG (E-W) at AOL=0</a:t>
            </a:r>
          </a:p>
        </c:rich>
      </c:tx>
      <c:layout>
        <c:manualLayout>
          <c:xMode val="factor"/>
          <c:yMode val="factor"/>
          <c:x val="0.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25"/>
          <c:y val="0.0435"/>
          <c:w val="0.885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trend'!$AW$8:$AW$70</c:f>
              <c:numCache/>
            </c:numRef>
          </c:yVal>
          <c:smooth val="0"/>
        </c:ser>
        <c:axId val="41839506"/>
        <c:axId val="41011235"/>
      </c:scatterChart>
      <c:valAx>
        <c:axId val="4183950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At val="910"/>
        <c:crossBetween val="midCat"/>
        <c:dispUnits/>
      </c:valAx>
      <c:valAx>
        <c:axId val="41011235"/>
        <c:scaling>
          <c:orientation val="minMax"/>
          <c:max val="925"/>
          <c:min val="9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72675"/>
          <c:w val="0.156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(N-S)</a:t>
            </a:r>
          </a:p>
        </c:rich>
      </c:tx>
      <c:layout>
        <c:manualLayout>
          <c:xMode val="factor"/>
          <c:yMode val="factor"/>
          <c:x val="0.07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04725"/>
          <c:w val="0.93275"/>
          <c:h val="0.9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trend'!$AC$8:$AC$70</c:f>
              <c:numCache/>
            </c:numRef>
          </c:yVal>
          <c:smooth val="0"/>
        </c:ser>
        <c:axId val="33556796"/>
        <c:axId val="33575709"/>
      </c:scatterChart>
      <c:valAx>
        <c:axId val="3355679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-10"/>
        <c:crossBetween val="midCat"/>
        <c:dispUnits/>
      </c:valAx>
      <c:valAx>
        <c:axId val="3357570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1995"/>
          <c:w val="0.082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(E-W)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0485"/>
          <c:w val="0.932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trend'!$AD$8:$AD$70</c:f>
              <c:numCache/>
            </c:numRef>
          </c:yVal>
          <c:smooth val="0"/>
        </c:ser>
        <c:axId val="33745926"/>
        <c:axId val="35277879"/>
      </c:scatterChart>
      <c:valAx>
        <c:axId val="3374592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At val="-15"/>
        <c:crossBetween val="midCat"/>
        <c:dispUnits/>
      </c:valAx>
      <c:valAx>
        <c:axId val="3527787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6225"/>
          <c:w val="0.082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2775"/>
          <c:w val="0.89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trend'!$CD$7:$CD$53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trend'!$CE$7:$CE$53</c:f>
              <c:numCache/>
            </c:numRef>
          </c:yVal>
          <c:smooth val="0"/>
        </c:ser>
        <c:axId val="49065456"/>
        <c:axId val="38935921"/>
      </c:scatterChart>
      <c:valAx>
        <c:axId val="49065456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-45"/>
        <c:crossBetween val="midCat"/>
        <c:dispUnits/>
        <c:majorUnit val="30"/>
      </c:valAx>
      <c:valAx>
        <c:axId val="38935921"/>
        <c:scaling>
          <c:orientation val="minMax"/>
          <c:max val="-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0025"/>
          <c:w val="0.3322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175"/>
          <c:w val="0.874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trend'!$CF$7:$CF$53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trend'!$CG$7:$CG$53</c:f>
              <c:numCache/>
            </c:numRef>
          </c:yVal>
          <c:smooth val="0"/>
        </c:ser>
        <c:axId val="14878970"/>
        <c:axId val="66801867"/>
      </c:scatterChart>
      <c:valAx>
        <c:axId val="14878970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801867"/>
        <c:crossesAt val="30"/>
        <c:crossBetween val="midCat"/>
        <c:dispUnits/>
        <c:majorUnit val="30"/>
      </c:valAx>
      <c:valAx>
        <c:axId val="66801867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"/>
          <c:w val="0.32125"/>
          <c:h val="0.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1775"/>
          <c:w val="0.88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trend'!$CI$7:$CI$53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trend'!$CJ$7:$CJ$53</c:f>
              <c:numCache/>
            </c:numRef>
          </c:yVal>
          <c:smooth val="0"/>
        </c:ser>
        <c:axId val="64345892"/>
        <c:axId val="42242117"/>
      </c:scatterChart>
      <c:valAx>
        <c:axId val="64345892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242117"/>
        <c:crossesAt val="-80"/>
        <c:crossBetween val="midCat"/>
        <c:dispUnits/>
        <c:majorUnit val="30"/>
      </c:valAx>
      <c:valAx>
        <c:axId val="42242117"/>
        <c:scaling>
          <c:orientation val="minMax"/>
          <c:max val="-4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345892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.102"/>
          <c:w val="0.346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1175"/>
          <c:w val="0.87625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trend'!$CK$7:$CK$53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trend'!$CL$7:$CL$53</c:f>
              <c:numCache/>
            </c:numRef>
          </c:yVal>
          <c:smooth val="0"/>
        </c:ser>
        <c:axId val="44634734"/>
        <c:axId val="66168287"/>
      </c:scatterChart>
      <c:valAx>
        <c:axId val="44634734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168287"/>
        <c:crossesAt val="-70"/>
        <c:crossBetween val="midCat"/>
        <c:dispUnits/>
        <c:majorUnit val="30"/>
      </c:valAx>
      <c:valAx>
        <c:axId val="66168287"/>
        <c:scaling>
          <c:orientation val="minMax"/>
          <c:max val="-1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634734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"/>
          <c:w val="0.32325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N-S</a:t>
            </a:r>
          </a:p>
        </c:rich>
      </c:tx>
      <c:layout>
        <c:manualLayout>
          <c:xMode val="factor"/>
          <c:yMode val="factor"/>
          <c:x val="0.00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06725"/>
          <c:w val="0.908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trend'!$BY$8:$BY$53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trend'!$BZ$8:$BZ$53</c:f>
              <c:numCache/>
            </c:numRef>
          </c:yVal>
          <c:smooth val="0"/>
        </c:ser>
        <c:axId val="58643672"/>
        <c:axId val="58031001"/>
      </c:scatterChart>
      <c:valAx>
        <c:axId val="5864367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-940"/>
        <c:crossBetween val="midCat"/>
        <c:dispUnits/>
      </c:valAx>
      <c:valAx>
        <c:axId val="58031001"/>
        <c:scaling>
          <c:orientation val="minMax"/>
          <c:max val="-860"/>
          <c:min val="-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Sun center address in HeII (arcsec)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705"/>
          <c:w val="0.230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4675"/>
          <c:w val="0.981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trend'!$CA$8:$CA$53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trend'!$CB$8:$CB$53</c:f>
              <c:numCache/>
            </c:numRef>
          </c:yVal>
          <c:smooth val="0"/>
        </c:ser>
        <c:axId val="52516962"/>
        <c:axId val="2890611"/>
      </c:scatterChart>
      <c:valAx>
        <c:axId val="5251696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At val="880"/>
        <c:crossBetween val="midCat"/>
        <c:dispUnits/>
      </c:valAx>
      <c:valAx>
        <c:axId val="2890611"/>
        <c:scaling>
          <c:orientation val="minMax"/>
          <c:max val="960"/>
          <c:min val="8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075"/>
          <c:w val="0.229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 E-W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575"/>
          <c:w val="0.939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SOT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Hinode_alignment_trend_by_Shimi!$Z$13:$Z$238</c:f>
              <c:numCache/>
            </c:numRef>
          </c:yVal>
          <c:smooth val="0"/>
        </c:ser>
        <c:ser>
          <c:idx val="1"/>
          <c:order val="1"/>
          <c:tx>
            <c:v>SOT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Hinode_alignment_trend_by_Shimi!$AA$13:$AA$238</c:f>
              <c:numCache/>
            </c:numRef>
          </c:yVal>
          <c:smooth val="0"/>
        </c:ser>
        <c:axId val="28858158"/>
        <c:axId val="58396831"/>
      </c:scatterChart>
      <c:valAx>
        <c:axId val="28858158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6831"/>
        <c:crossesAt val="1025"/>
        <c:crossBetween val="midCat"/>
        <c:dispUnits/>
      </c:valAx>
      <c:valAx>
        <c:axId val="58396831"/>
        <c:scaling>
          <c:orientation val="minMax"/>
          <c:max val="1085"/>
          <c:min val="1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815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187"/>
          <c:w val="0.239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- SOT DC offset </a:t>
            </a:r>
          </a:p>
        </c:rich>
      </c:tx>
      <c:layout>
        <c:manualLayout>
          <c:xMode val="factor"/>
          <c:yMode val="factor"/>
          <c:x val="0.06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025"/>
          <c:w val="0.95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Hinode_alignment_trend_by_Shimi!$AJ$7:$AJ$238</c:f>
              <c:numCache/>
            </c:numRef>
          </c:xVal>
          <c:yVal>
            <c:numRef>
              <c:f>Hinode_alignment_trend_by_Shimi!$AH$7:$AH$238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Hinode_alignment_trend_by_Shimi!$AK$7:$AK$238</c:f>
              <c:numCache/>
            </c:numRef>
          </c:xVal>
          <c:yVal>
            <c:numRef>
              <c:f>Hinode_alignment_trend_by_Shimi!$AI$7:$AI$238</c:f>
              <c:numCache/>
            </c:numRef>
          </c:yVal>
          <c:smooth val="0"/>
        </c:ser>
        <c:axId val="55809432"/>
        <c:axId val="32522841"/>
      </c:scatterChart>
      <c:valAx>
        <c:axId val="55809432"/>
        <c:scaling>
          <c:orientation val="minMax"/>
          <c:max val="-31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22841"/>
        <c:crossesAt val="-33"/>
        <c:crossBetween val="midCat"/>
        <c:dispUnits/>
      </c:valAx>
      <c:valAx>
        <c:axId val="32522841"/>
        <c:scaling>
          <c:orientation val="minMax"/>
          <c:max val="-21"/>
          <c:min val="-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9432"/>
        <c:crossesAt val="-42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14"/>
          <c:w val="0.200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1"/>
          <c:w val="0.859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Hinode_alignment_trend_by_Shimi!$AH$7:$AH$238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Hinode_alignment_trend_by_Shimi!$AI$7:$AI$238</c:f>
              <c:numCache/>
            </c:numRef>
          </c:yVal>
          <c:smooth val="0"/>
        </c:ser>
        <c:axId val="24270114"/>
        <c:axId val="17104435"/>
      </c:scatterChart>
      <c:valAx>
        <c:axId val="24270114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-32"/>
        <c:crossBetween val="midCat"/>
        <c:dispUnits/>
        <c:majorUnit val="30"/>
      </c:valAx>
      <c:valAx>
        <c:axId val="17104435"/>
        <c:scaling>
          <c:orientation val="minMax"/>
          <c:max val="-22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3902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25"/>
          <c:y val="0.0425"/>
          <c:w val="0.270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5"/>
          <c:y val="0.008"/>
          <c:w val="0.856"/>
          <c:h val="0.986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Hinode_alignment_trend_by_Shimi!$AJ$7:$AJ$238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Hinode_alignment_trend_by_Shimi!$AK$7:$AK$238</c:f>
              <c:numCache/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281965"/>
        <c:crossesAt val="-41"/>
        <c:crossBetween val="midCat"/>
        <c:dispUnits/>
        <c:majorUnit val="30"/>
      </c:valAx>
      <c:valAx>
        <c:axId val="43281965"/>
        <c:scaling>
          <c:orientation val="minMax"/>
          <c:max val="-31"/>
          <c:min val="-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3902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79775"/>
          <c:w val="0.269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XANG (N-S) at AOL=0</a:t>
            </a:r>
          </a:p>
        </c:rich>
      </c:tx>
      <c:layout>
        <c:manualLayout>
          <c:xMode val="factor"/>
          <c:yMode val="factor"/>
          <c:x val="0.00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4175"/>
          <c:w val="0.88425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v>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Hinode_alignment_trend_by_Shimi!$AN$13:$AN$238</c:f>
              <c:numCache/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78247"/>
        <c:crossesAt val="-1055"/>
        <c:crossBetween val="midCat"/>
        <c:dispUnits/>
      </c:valAx>
      <c:valAx>
        <c:axId val="16178247"/>
        <c:scaling>
          <c:orientation val="minMax"/>
          <c:max val="-1015"/>
          <c:min val="-10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9336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839"/>
          <c:w val="0.161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XANG (N-S) at AOL=0</a:t>
            </a:r>
          </a:p>
        </c:rich>
      </c:tx>
      <c:layout>
        <c:manualLayout>
          <c:xMode val="factor"/>
          <c:yMode val="factor"/>
          <c:x val="0.01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425"/>
          <c:w val="0.8882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v>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Hinode_alignment_trend_by_Shimi!$AP$13:$AP$238</c:f>
              <c:numCache/>
            </c:numRef>
          </c:yVal>
          <c:smooth val="0"/>
        </c:ser>
        <c:axId val="11386496"/>
        <c:axId val="35369601"/>
      </c:scatterChart>
      <c:valAx>
        <c:axId val="1138649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At val="-875"/>
        <c:crossBetween val="midCat"/>
        <c:dispUnits/>
      </c:valAx>
      <c:valAx>
        <c:axId val="35369601"/>
        <c:scaling>
          <c:orientation val="minMax"/>
          <c:max val="-840"/>
          <c:min val="-8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71325"/>
          <c:w val="0.16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Relationship Id="rId16" Type="http://schemas.openxmlformats.org/officeDocument/2006/relationships/chart" Target="/xl/charts/chart35.xml" /><Relationship Id="rId17" Type="http://schemas.openxmlformats.org/officeDocument/2006/relationships/chart" Target="/xl/charts/chart36.xml" /><Relationship Id="rId18" Type="http://schemas.openxmlformats.org/officeDocument/2006/relationships/chart" Target="/xl/charts/chart37.xml" /><Relationship Id="rId19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240</xdr:row>
      <xdr:rowOff>76200</xdr:rowOff>
    </xdr:from>
    <xdr:to>
      <xdr:col>14</xdr:col>
      <xdr:colOff>657225</xdr:colOff>
      <xdr:row>263</xdr:row>
      <xdr:rowOff>38100</xdr:rowOff>
    </xdr:to>
    <xdr:graphicFrame>
      <xdr:nvGraphicFramePr>
        <xdr:cNvPr id="1" name="Chart 1"/>
        <xdr:cNvGraphicFramePr/>
      </xdr:nvGraphicFramePr>
      <xdr:xfrm>
        <a:off x="6467475" y="50825400"/>
        <a:ext cx="47625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263</xdr:row>
      <xdr:rowOff>76200</xdr:rowOff>
    </xdr:from>
    <xdr:to>
      <xdr:col>14</xdr:col>
      <xdr:colOff>657225</xdr:colOff>
      <xdr:row>286</xdr:row>
      <xdr:rowOff>114300</xdr:rowOff>
    </xdr:to>
    <xdr:graphicFrame>
      <xdr:nvGraphicFramePr>
        <xdr:cNvPr id="2" name="Chart 2"/>
        <xdr:cNvGraphicFramePr/>
      </xdr:nvGraphicFramePr>
      <xdr:xfrm>
        <a:off x="6467475" y="54768750"/>
        <a:ext cx="4762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190500</xdr:colOff>
      <xdr:row>240</xdr:row>
      <xdr:rowOff>76200</xdr:rowOff>
    </xdr:from>
    <xdr:to>
      <xdr:col>21</xdr:col>
      <xdr:colOff>638175</xdr:colOff>
      <xdr:row>262</xdr:row>
      <xdr:rowOff>152400</xdr:rowOff>
    </xdr:to>
    <xdr:graphicFrame>
      <xdr:nvGraphicFramePr>
        <xdr:cNvPr id="3" name="Chart 3"/>
        <xdr:cNvGraphicFramePr/>
      </xdr:nvGraphicFramePr>
      <xdr:xfrm>
        <a:off x="11487150" y="50825400"/>
        <a:ext cx="46101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152400</xdr:colOff>
      <xdr:row>263</xdr:row>
      <xdr:rowOff>104775</xdr:rowOff>
    </xdr:from>
    <xdr:to>
      <xdr:col>21</xdr:col>
      <xdr:colOff>647700</xdr:colOff>
      <xdr:row>286</xdr:row>
      <xdr:rowOff>114300</xdr:rowOff>
    </xdr:to>
    <xdr:graphicFrame>
      <xdr:nvGraphicFramePr>
        <xdr:cNvPr id="4" name="Chart 4"/>
        <xdr:cNvGraphicFramePr/>
      </xdr:nvGraphicFramePr>
      <xdr:xfrm>
        <a:off x="11449050" y="54797325"/>
        <a:ext cx="46577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304800</xdr:colOff>
      <xdr:row>240</xdr:row>
      <xdr:rowOff>152400</xdr:rowOff>
    </xdr:from>
    <xdr:to>
      <xdr:col>37</xdr:col>
      <xdr:colOff>123825</xdr:colOff>
      <xdr:row>262</xdr:row>
      <xdr:rowOff>47625</xdr:rowOff>
    </xdr:to>
    <xdr:graphicFrame>
      <xdr:nvGraphicFramePr>
        <xdr:cNvPr id="5" name="Chart 5"/>
        <xdr:cNvGraphicFramePr/>
      </xdr:nvGraphicFramePr>
      <xdr:xfrm>
        <a:off x="21497925" y="50901600"/>
        <a:ext cx="54102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314325</xdr:colOff>
      <xdr:row>240</xdr:row>
      <xdr:rowOff>142875</xdr:rowOff>
    </xdr:from>
    <xdr:to>
      <xdr:col>45</xdr:col>
      <xdr:colOff>180975</xdr:colOff>
      <xdr:row>261</xdr:row>
      <xdr:rowOff>171450</xdr:rowOff>
    </xdr:to>
    <xdr:graphicFrame>
      <xdr:nvGraphicFramePr>
        <xdr:cNvPr id="6" name="Chart 6"/>
        <xdr:cNvGraphicFramePr/>
      </xdr:nvGraphicFramePr>
      <xdr:xfrm>
        <a:off x="27098625" y="50892075"/>
        <a:ext cx="4867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295275</xdr:colOff>
      <xdr:row>263</xdr:row>
      <xdr:rowOff>171450</xdr:rowOff>
    </xdr:from>
    <xdr:to>
      <xdr:col>45</xdr:col>
      <xdr:colOff>219075</xdr:colOff>
      <xdr:row>285</xdr:row>
      <xdr:rowOff>57150</xdr:rowOff>
    </xdr:to>
    <xdr:graphicFrame>
      <xdr:nvGraphicFramePr>
        <xdr:cNvPr id="7" name="Chart 7"/>
        <xdr:cNvGraphicFramePr/>
      </xdr:nvGraphicFramePr>
      <xdr:xfrm>
        <a:off x="27079575" y="54864000"/>
        <a:ext cx="4924425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495300</xdr:colOff>
      <xdr:row>242</xdr:row>
      <xdr:rowOff>0</xdr:rowOff>
    </xdr:from>
    <xdr:to>
      <xdr:col>50</xdr:col>
      <xdr:colOff>495300</xdr:colOff>
      <xdr:row>259</xdr:row>
      <xdr:rowOff>161925</xdr:rowOff>
    </xdr:to>
    <xdr:graphicFrame>
      <xdr:nvGraphicFramePr>
        <xdr:cNvPr id="8" name="Chart 8"/>
        <xdr:cNvGraphicFramePr/>
      </xdr:nvGraphicFramePr>
      <xdr:xfrm>
        <a:off x="32280225" y="51092100"/>
        <a:ext cx="3457575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45</xdr:col>
      <xdr:colOff>419100</xdr:colOff>
      <xdr:row>266</xdr:row>
      <xdr:rowOff>47625</xdr:rowOff>
    </xdr:from>
    <xdr:to>
      <xdr:col>50</xdr:col>
      <xdr:colOff>447675</xdr:colOff>
      <xdr:row>284</xdr:row>
      <xdr:rowOff>57150</xdr:rowOff>
    </xdr:to>
    <xdr:graphicFrame>
      <xdr:nvGraphicFramePr>
        <xdr:cNvPr id="9" name="Chart 9"/>
        <xdr:cNvGraphicFramePr/>
      </xdr:nvGraphicFramePr>
      <xdr:xfrm>
        <a:off x="32204025" y="55254525"/>
        <a:ext cx="34861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114300</xdr:colOff>
      <xdr:row>242</xdr:row>
      <xdr:rowOff>66675</xdr:rowOff>
    </xdr:from>
    <xdr:to>
      <xdr:col>56</xdr:col>
      <xdr:colOff>142875</xdr:colOff>
      <xdr:row>260</xdr:row>
      <xdr:rowOff>57150</xdr:rowOff>
    </xdr:to>
    <xdr:graphicFrame>
      <xdr:nvGraphicFramePr>
        <xdr:cNvPr id="10" name="Chart 10"/>
        <xdr:cNvGraphicFramePr/>
      </xdr:nvGraphicFramePr>
      <xdr:xfrm>
        <a:off x="36033075" y="51158775"/>
        <a:ext cx="3486150" cy="3076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266</xdr:row>
      <xdr:rowOff>19050</xdr:rowOff>
    </xdr:from>
    <xdr:to>
      <xdr:col>56</xdr:col>
      <xdr:colOff>114300</xdr:colOff>
      <xdr:row>284</xdr:row>
      <xdr:rowOff>28575</xdr:rowOff>
    </xdr:to>
    <xdr:graphicFrame>
      <xdr:nvGraphicFramePr>
        <xdr:cNvPr id="11" name="Chart 11"/>
        <xdr:cNvGraphicFramePr/>
      </xdr:nvGraphicFramePr>
      <xdr:xfrm>
        <a:off x="35994975" y="55225950"/>
        <a:ext cx="3495675" cy="3095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114300</xdr:colOff>
      <xdr:row>240</xdr:row>
      <xdr:rowOff>76200</xdr:rowOff>
    </xdr:from>
    <xdr:to>
      <xdr:col>28</xdr:col>
      <xdr:colOff>561975</xdr:colOff>
      <xdr:row>262</xdr:row>
      <xdr:rowOff>123825</xdr:rowOff>
    </xdr:to>
    <xdr:graphicFrame>
      <xdr:nvGraphicFramePr>
        <xdr:cNvPr id="12" name="Chart 12"/>
        <xdr:cNvGraphicFramePr/>
      </xdr:nvGraphicFramePr>
      <xdr:xfrm>
        <a:off x="16297275" y="50825400"/>
        <a:ext cx="4581525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152400</xdr:colOff>
      <xdr:row>263</xdr:row>
      <xdr:rowOff>171450</xdr:rowOff>
    </xdr:from>
    <xdr:to>
      <xdr:col>28</xdr:col>
      <xdr:colOff>561975</xdr:colOff>
      <xdr:row>286</xdr:row>
      <xdr:rowOff>152400</xdr:rowOff>
    </xdr:to>
    <xdr:graphicFrame>
      <xdr:nvGraphicFramePr>
        <xdr:cNvPr id="13" name="Chart 13"/>
        <xdr:cNvGraphicFramePr/>
      </xdr:nvGraphicFramePr>
      <xdr:xfrm>
        <a:off x="16335375" y="54864000"/>
        <a:ext cx="4543425" cy="3924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79</xdr:col>
      <xdr:colOff>152400</xdr:colOff>
      <xdr:row>241</xdr:row>
      <xdr:rowOff>95250</xdr:rowOff>
    </xdr:from>
    <xdr:to>
      <xdr:col>86</xdr:col>
      <xdr:colOff>266700</xdr:colOff>
      <xdr:row>262</xdr:row>
      <xdr:rowOff>95250</xdr:rowOff>
    </xdr:to>
    <xdr:graphicFrame>
      <xdr:nvGraphicFramePr>
        <xdr:cNvPr id="14" name="Chart 14"/>
        <xdr:cNvGraphicFramePr/>
      </xdr:nvGraphicFramePr>
      <xdr:xfrm>
        <a:off x="51825525" y="51015900"/>
        <a:ext cx="4038600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79</xdr:col>
      <xdr:colOff>38100</xdr:colOff>
      <xdr:row>264</xdr:row>
      <xdr:rowOff>38100</xdr:rowOff>
    </xdr:from>
    <xdr:to>
      <xdr:col>86</xdr:col>
      <xdr:colOff>47625</xdr:colOff>
      <xdr:row>285</xdr:row>
      <xdr:rowOff>123825</xdr:rowOff>
    </xdr:to>
    <xdr:graphicFrame>
      <xdr:nvGraphicFramePr>
        <xdr:cNvPr id="15" name="Chart 15"/>
        <xdr:cNvGraphicFramePr/>
      </xdr:nvGraphicFramePr>
      <xdr:xfrm>
        <a:off x="51711225" y="54902100"/>
        <a:ext cx="393382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86</xdr:col>
      <xdr:colOff>190500</xdr:colOff>
      <xdr:row>241</xdr:row>
      <xdr:rowOff>95250</xdr:rowOff>
    </xdr:from>
    <xdr:to>
      <xdr:col>92</xdr:col>
      <xdr:colOff>47625</xdr:colOff>
      <xdr:row>262</xdr:row>
      <xdr:rowOff>171450</xdr:rowOff>
    </xdr:to>
    <xdr:graphicFrame>
      <xdr:nvGraphicFramePr>
        <xdr:cNvPr id="16" name="Chart 16"/>
        <xdr:cNvGraphicFramePr/>
      </xdr:nvGraphicFramePr>
      <xdr:xfrm>
        <a:off x="55787925" y="51015900"/>
        <a:ext cx="3914775" cy="3676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86</xdr:col>
      <xdr:colOff>152400</xdr:colOff>
      <xdr:row>264</xdr:row>
      <xdr:rowOff>38100</xdr:rowOff>
    </xdr:from>
    <xdr:to>
      <xdr:col>92</xdr:col>
      <xdr:colOff>9525</xdr:colOff>
      <xdr:row>285</xdr:row>
      <xdr:rowOff>142875</xdr:rowOff>
    </xdr:to>
    <xdr:graphicFrame>
      <xdr:nvGraphicFramePr>
        <xdr:cNvPr id="17" name="Chart 17"/>
        <xdr:cNvGraphicFramePr/>
      </xdr:nvGraphicFramePr>
      <xdr:xfrm>
        <a:off x="55749825" y="54902100"/>
        <a:ext cx="3914775" cy="3705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70</xdr:col>
      <xdr:colOff>571500</xdr:colOff>
      <xdr:row>241</xdr:row>
      <xdr:rowOff>95250</xdr:rowOff>
    </xdr:from>
    <xdr:to>
      <xdr:col>78</xdr:col>
      <xdr:colOff>600075</xdr:colOff>
      <xdr:row>262</xdr:row>
      <xdr:rowOff>47625</xdr:rowOff>
    </xdr:to>
    <xdr:graphicFrame>
      <xdr:nvGraphicFramePr>
        <xdr:cNvPr id="18" name="Chart 18"/>
        <xdr:cNvGraphicFramePr/>
      </xdr:nvGraphicFramePr>
      <xdr:xfrm>
        <a:off x="46958250" y="51015900"/>
        <a:ext cx="4600575" cy="3552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70</xdr:col>
      <xdr:colOff>571500</xdr:colOff>
      <xdr:row>263</xdr:row>
      <xdr:rowOff>114300</xdr:rowOff>
    </xdr:from>
    <xdr:to>
      <xdr:col>78</xdr:col>
      <xdr:colOff>628650</xdr:colOff>
      <xdr:row>286</xdr:row>
      <xdr:rowOff>161925</xdr:rowOff>
    </xdr:to>
    <xdr:graphicFrame>
      <xdr:nvGraphicFramePr>
        <xdr:cNvPr id="19" name="Chart 19"/>
        <xdr:cNvGraphicFramePr/>
      </xdr:nvGraphicFramePr>
      <xdr:xfrm>
        <a:off x="46958250" y="54806850"/>
        <a:ext cx="4629150" cy="3990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81</xdr:row>
      <xdr:rowOff>0</xdr:rowOff>
    </xdr:from>
    <xdr:to>
      <xdr:col>14</xdr:col>
      <xdr:colOff>609600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6419850" y="17430750"/>
        <a:ext cx="4733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105</xdr:row>
      <xdr:rowOff>114300</xdr:rowOff>
    </xdr:from>
    <xdr:to>
      <xdr:col>14</xdr:col>
      <xdr:colOff>609600</xdr:colOff>
      <xdr:row>128</xdr:row>
      <xdr:rowOff>142875</xdr:rowOff>
    </xdr:to>
    <xdr:graphicFrame>
      <xdr:nvGraphicFramePr>
        <xdr:cNvPr id="2" name="Chart 2"/>
        <xdr:cNvGraphicFramePr/>
      </xdr:nvGraphicFramePr>
      <xdr:xfrm>
        <a:off x="6419850" y="21850350"/>
        <a:ext cx="4733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142875</xdr:colOff>
      <xdr:row>80</xdr:row>
      <xdr:rowOff>161925</xdr:rowOff>
    </xdr:from>
    <xdr:to>
      <xdr:col>21</xdr:col>
      <xdr:colOff>581025</xdr:colOff>
      <xdr:row>104</xdr:row>
      <xdr:rowOff>104775</xdr:rowOff>
    </xdr:to>
    <xdr:graphicFrame>
      <xdr:nvGraphicFramePr>
        <xdr:cNvPr id="3" name="Chart 3"/>
        <xdr:cNvGraphicFramePr/>
      </xdr:nvGraphicFramePr>
      <xdr:xfrm>
        <a:off x="11382375" y="17383125"/>
        <a:ext cx="45720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105</xdr:row>
      <xdr:rowOff>133350</xdr:rowOff>
    </xdr:from>
    <xdr:to>
      <xdr:col>21</xdr:col>
      <xdr:colOff>600075</xdr:colOff>
      <xdr:row>128</xdr:row>
      <xdr:rowOff>142875</xdr:rowOff>
    </xdr:to>
    <xdr:graphicFrame>
      <xdr:nvGraphicFramePr>
        <xdr:cNvPr id="4" name="Chart 4"/>
        <xdr:cNvGraphicFramePr/>
      </xdr:nvGraphicFramePr>
      <xdr:xfrm>
        <a:off x="11344275" y="21869400"/>
        <a:ext cx="462915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304800</xdr:colOff>
      <xdr:row>80</xdr:row>
      <xdr:rowOff>180975</xdr:rowOff>
    </xdr:from>
    <xdr:to>
      <xdr:col>37</xdr:col>
      <xdr:colOff>123825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21383625" y="17402175"/>
        <a:ext cx="535305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333375</xdr:colOff>
      <xdr:row>69</xdr:row>
      <xdr:rowOff>180975</xdr:rowOff>
    </xdr:from>
    <xdr:to>
      <xdr:col>45</xdr:col>
      <xdr:colOff>190500</xdr:colOff>
      <xdr:row>96</xdr:row>
      <xdr:rowOff>47625</xdr:rowOff>
    </xdr:to>
    <xdr:graphicFrame>
      <xdr:nvGraphicFramePr>
        <xdr:cNvPr id="6" name="Chart 6"/>
        <xdr:cNvGraphicFramePr/>
      </xdr:nvGraphicFramePr>
      <xdr:xfrm>
        <a:off x="26946225" y="15097125"/>
        <a:ext cx="485775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295275</xdr:colOff>
      <xdr:row>96</xdr:row>
      <xdr:rowOff>47625</xdr:rowOff>
    </xdr:from>
    <xdr:to>
      <xdr:col>45</xdr:col>
      <xdr:colOff>219075</xdr:colOff>
      <xdr:row>117</xdr:row>
      <xdr:rowOff>123825</xdr:rowOff>
    </xdr:to>
    <xdr:graphicFrame>
      <xdr:nvGraphicFramePr>
        <xdr:cNvPr id="7" name="Chart 7"/>
        <xdr:cNvGraphicFramePr/>
      </xdr:nvGraphicFramePr>
      <xdr:xfrm>
        <a:off x="26908125" y="20240625"/>
        <a:ext cx="4924425" cy="3676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495300</xdr:colOff>
      <xdr:row>70</xdr:row>
      <xdr:rowOff>47625</xdr:rowOff>
    </xdr:from>
    <xdr:to>
      <xdr:col>50</xdr:col>
      <xdr:colOff>495300</xdr:colOff>
      <xdr:row>92</xdr:row>
      <xdr:rowOff>38100</xdr:rowOff>
    </xdr:to>
    <xdr:graphicFrame>
      <xdr:nvGraphicFramePr>
        <xdr:cNvPr id="8" name="Chart 8"/>
        <xdr:cNvGraphicFramePr/>
      </xdr:nvGraphicFramePr>
      <xdr:xfrm>
        <a:off x="32108775" y="15173325"/>
        <a:ext cx="3457575" cy="4371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45</xdr:col>
      <xdr:colOff>419100</xdr:colOff>
      <xdr:row>98</xdr:row>
      <xdr:rowOff>114300</xdr:rowOff>
    </xdr:from>
    <xdr:to>
      <xdr:col>50</xdr:col>
      <xdr:colOff>447675</xdr:colOff>
      <xdr:row>116</xdr:row>
      <xdr:rowOff>123825</xdr:rowOff>
    </xdr:to>
    <xdr:graphicFrame>
      <xdr:nvGraphicFramePr>
        <xdr:cNvPr id="9" name="Chart 9"/>
        <xdr:cNvGraphicFramePr/>
      </xdr:nvGraphicFramePr>
      <xdr:xfrm>
        <a:off x="32032575" y="20650200"/>
        <a:ext cx="34861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114300</xdr:colOff>
      <xdr:row>70</xdr:row>
      <xdr:rowOff>133350</xdr:rowOff>
    </xdr:from>
    <xdr:to>
      <xdr:col>56</xdr:col>
      <xdr:colOff>142875</xdr:colOff>
      <xdr:row>92</xdr:row>
      <xdr:rowOff>123825</xdr:rowOff>
    </xdr:to>
    <xdr:graphicFrame>
      <xdr:nvGraphicFramePr>
        <xdr:cNvPr id="10" name="Chart 10"/>
        <xdr:cNvGraphicFramePr/>
      </xdr:nvGraphicFramePr>
      <xdr:xfrm>
        <a:off x="35861625" y="15259050"/>
        <a:ext cx="3486150" cy="4371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98</xdr:row>
      <xdr:rowOff>76200</xdr:rowOff>
    </xdr:from>
    <xdr:to>
      <xdr:col>56</xdr:col>
      <xdr:colOff>114300</xdr:colOff>
      <xdr:row>116</xdr:row>
      <xdr:rowOff>95250</xdr:rowOff>
    </xdr:to>
    <xdr:graphicFrame>
      <xdr:nvGraphicFramePr>
        <xdr:cNvPr id="11" name="Chart 11"/>
        <xdr:cNvGraphicFramePr/>
      </xdr:nvGraphicFramePr>
      <xdr:xfrm>
        <a:off x="35823525" y="20612100"/>
        <a:ext cx="349567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76200</xdr:colOff>
      <xdr:row>81</xdr:row>
      <xdr:rowOff>9525</xdr:rowOff>
    </xdr:from>
    <xdr:to>
      <xdr:col>28</xdr:col>
      <xdr:colOff>514350</xdr:colOff>
      <xdr:row>104</xdr:row>
      <xdr:rowOff>133350</xdr:rowOff>
    </xdr:to>
    <xdr:graphicFrame>
      <xdr:nvGraphicFramePr>
        <xdr:cNvPr id="12" name="Chart 12"/>
        <xdr:cNvGraphicFramePr/>
      </xdr:nvGraphicFramePr>
      <xdr:xfrm>
        <a:off x="16173450" y="17440275"/>
        <a:ext cx="4572000" cy="4257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104775</xdr:colOff>
      <xdr:row>106</xdr:row>
      <xdr:rowOff>28575</xdr:rowOff>
    </xdr:from>
    <xdr:to>
      <xdr:col>28</xdr:col>
      <xdr:colOff>504825</xdr:colOff>
      <xdr:row>129</xdr:row>
      <xdr:rowOff>9525</xdr:rowOff>
    </xdr:to>
    <xdr:graphicFrame>
      <xdr:nvGraphicFramePr>
        <xdr:cNvPr id="13" name="Chart 13"/>
        <xdr:cNvGraphicFramePr/>
      </xdr:nvGraphicFramePr>
      <xdr:xfrm>
        <a:off x="16202025" y="21936075"/>
        <a:ext cx="4533900" cy="3924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79</xdr:col>
      <xdr:colOff>152400</xdr:colOff>
      <xdr:row>52</xdr:row>
      <xdr:rowOff>133350</xdr:rowOff>
    </xdr:from>
    <xdr:to>
      <xdr:col>86</xdr:col>
      <xdr:colOff>266700</xdr:colOff>
      <xdr:row>94</xdr:row>
      <xdr:rowOff>133350</xdr:rowOff>
    </xdr:to>
    <xdr:graphicFrame>
      <xdr:nvGraphicFramePr>
        <xdr:cNvPr id="14" name="Chart 14"/>
        <xdr:cNvGraphicFramePr/>
      </xdr:nvGraphicFramePr>
      <xdr:xfrm>
        <a:off x="51654075" y="11487150"/>
        <a:ext cx="4038600" cy="8496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79</xdr:col>
      <xdr:colOff>38100</xdr:colOff>
      <xdr:row>96</xdr:row>
      <xdr:rowOff>76200</xdr:rowOff>
    </xdr:from>
    <xdr:to>
      <xdr:col>86</xdr:col>
      <xdr:colOff>47625</xdr:colOff>
      <xdr:row>117</xdr:row>
      <xdr:rowOff>161925</xdr:rowOff>
    </xdr:to>
    <xdr:graphicFrame>
      <xdr:nvGraphicFramePr>
        <xdr:cNvPr id="15" name="Chart 15"/>
        <xdr:cNvGraphicFramePr/>
      </xdr:nvGraphicFramePr>
      <xdr:xfrm>
        <a:off x="51539775" y="20269200"/>
        <a:ext cx="393382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86</xdr:col>
      <xdr:colOff>190500</xdr:colOff>
      <xdr:row>52</xdr:row>
      <xdr:rowOff>133350</xdr:rowOff>
    </xdr:from>
    <xdr:to>
      <xdr:col>92</xdr:col>
      <xdr:colOff>47625</xdr:colOff>
      <xdr:row>95</xdr:row>
      <xdr:rowOff>28575</xdr:rowOff>
    </xdr:to>
    <xdr:graphicFrame>
      <xdr:nvGraphicFramePr>
        <xdr:cNvPr id="16" name="Chart 16"/>
        <xdr:cNvGraphicFramePr/>
      </xdr:nvGraphicFramePr>
      <xdr:xfrm>
        <a:off x="55616475" y="11487150"/>
        <a:ext cx="3914775" cy="8562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86</xdr:col>
      <xdr:colOff>152400</xdr:colOff>
      <xdr:row>96</xdr:row>
      <xdr:rowOff>76200</xdr:rowOff>
    </xdr:from>
    <xdr:to>
      <xdr:col>92</xdr:col>
      <xdr:colOff>9525</xdr:colOff>
      <xdr:row>118</xdr:row>
      <xdr:rowOff>0</xdr:rowOff>
    </xdr:to>
    <xdr:graphicFrame>
      <xdr:nvGraphicFramePr>
        <xdr:cNvPr id="17" name="Chart 17"/>
        <xdr:cNvGraphicFramePr/>
      </xdr:nvGraphicFramePr>
      <xdr:xfrm>
        <a:off x="55578375" y="20269200"/>
        <a:ext cx="3914775" cy="3695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70</xdr:col>
      <xdr:colOff>571500</xdr:colOff>
      <xdr:row>52</xdr:row>
      <xdr:rowOff>133350</xdr:rowOff>
    </xdr:from>
    <xdr:to>
      <xdr:col>78</xdr:col>
      <xdr:colOff>600075</xdr:colOff>
      <xdr:row>94</xdr:row>
      <xdr:rowOff>95250</xdr:rowOff>
    </xdr:to>
    <xdr:graphicFrame>
      <xdr:nvGraphicFramePr>
        <xdr:cNvPr id="18" name="Chart 18"/>
        <xdr:cNvGraphicFramePr/>
      </xdr:nvGraphicFramePr>
      <xdr:xfrm>
        <a:off x="46786800" y="11487150"/>
        <a:ext cx="4600575" cy="8458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70</xdr:col>
      <xdr:colOff>571500</xdr:colOff>
      <xdr:row>95</xdr:row>
      <xdr:rowOff>152400</xdr:rowOff>
    </xdr:from>
    <xdr:to>
      <xdr:col>78</xdr:col>
      <xdr:colOff>628650</xdr:colOff>
      <xdr:row>119</xdr:row>
      <xdr:rowOff>19050</xdr:rowOff>
    </xdr:to>
    <xdr:graphicFrame>
      <xdr:nvGraphicFramePr>
        <xdr:cNvPr id="19" name="Chart 19"/>
        <xdr:cNvGraphicFramePr/>
      </xdr:nvGraphicFramePr>
      <xdr:xfrm>
        <a:off x="46786800" y="20173950"/>
        <a:ext cx="4629150" cy="3981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40"/>
  <sheetViews>
    <sheetView tabSelected="1" workbookViewId="0" topLeftCell="A1">
      <pane xSplit="4800" ySplit="3000" topLeftCell="I210" activePane="bottomRight" state="split"/>
      <selection pane="topLeft" activeCell="A231" sqref="A231:IV231"/>
      <selection pane="topRight" activeCell="AX4" sqref="AX4"/>
      <selection pane="bottomLeft" activeCell="C239" sqref="A239:IV244"/>
      <selection pane="bottomRight" activeCell="AO232" sqref="AO232"/>
    </sheetView>
  </sheetViews>
  <sheetFormatPr defaultColWidth="8.875" defaultRowHeight="13.5"/>
  <cols>
    <col min="1" max="1" width="14.875" style="0" bestFit="1" customWidth="1"/>
    <col min="2" max="2" width="10.875" style="0" bestFit="1" customWidth="1"/>
    <col min="3" max="5" width="9.50390625" style="0" bestFit="1" customWidth="1"/>
    <col min="6" max="6" width="8.875" style="0" customWidth="1"/>
    <col min="7" max="8" width="9.875" style="0" bestFit="1" customWidth="1"/>
    <col min="9" max="10" width="9.625" style="0" bestFit="1" customWidth="1"/>
    <col min="11" max="11" width="8.875" style="0" customWidth="1"/>
    <col min="12" max="13" width="9.125" style="0" bestFit="1" customWidth="1"/>
    <col min="14" max="15" width="9.50390625" style="0" bestFit="1" customWidth="1"/>
    <col min="16" max="16" width="8.875" style="0" customWidth="1"/>
    <col min="17" max="18" width="9.125" style="0" bestFit="1" customWidth="1"/>
    <col min="19" max="19" width="9.50390625" style="0" bestFit="1" customWidth="1"/>
    <col min="20" max="20" width="9.125" style="0" bestFit="1" customWidth="1"/>
    <col min="21" max="21" width="8.875" style="0" customWidth="1"/>
    <col min="22" max="22" width="9.50390625" style="0" bestFit="1" customWidth="1"/>
    <col min="23" max="23" width="8.875" style="0" customWidth="1"/>
    <col min="24" max="27" width="9.125" style="0" bestFit="1" customWidth="1"/>
    <col min="28" max="28" width="8.875" style="0" customWidth="1"/>
    <col min="29" max="29" width="11.50390625" style="0" bestFit="1" customWidth="1"/>
    <col min="30" max="30" width="9.50390625" style="0" bestFit="1" customWidth="1"/>
    <col min="31" max="33" width="8.875" style="0" customWidth="1"/>
    <col min="34" max="35" width="9.125" style="0" bestFit="1" customWidth="1"/>
    <col min="36" max="37" width="9.50390625" style="0" bestFit="1" customWidth="1"/>
    <col min="38" max="38" width="8.875" style="0" customWidth="1"/>
    <col min="39" max="39" width="9.125" style="0" bestFit="1" customWidth="1"/>
    <col min="40" max="40" width="9.625" style="0" bestFit="1" customWidth="1"/>
    <col min="41" max="43" width="9.125" style="0" bestFit="1" customWidth="1"/>
    <col min="44" max="44" width="1.4921875" style="0" customWidth="1"/>
    <col min="45" max="49" width="9.125" style="0" bestFit="1" customWidth="1"/>
    <col min="50" max="52" width="8.875" style="0" customWidth="1"/>
    <col min="53" max="56" width="9.125" style="0" bestFit="1" customWidth="1"/>
    <col min="57" max="57" width="8.875" style="0" customWidth="1"/>
    <col min="58" max="58" width="7.125" style="0" customWidth="1"/>
    <col min="59" max="60" width="8.625" style="0" customWidth="1"/>
    <col min="61" max="61" width="6.00390625" style="0" customWidth="1"/>
    <col min="62" max="62" width="6.375" style="0" customWidth="1"/>
    <col min="63" max="63" width="5.875" style="0" customWidth="1"/>
    <col min="64" max="64" width="6.50390625" style="0" customWidth="1"/>
    <col min="65" max="65" width="5.00390625" style="0" customWidth="1"/>
    <col min="66" max="66" width="5.125" style="0" customWidth="1"/>
    <col min="67" max="67" width="3.00390625" style="0" customWidth="1"/>
    <col min="68" max="68" width="8.875" style="0" customWidth="1"/>
    <col min="69" max="69" width="9.875" style="0" customWidth="1"/>
    <col min="70" max="70" width="2.125" style="0" customWidth="1"/>
    <col min="71" max="71" width="9.875" style="0" customWidth="1"/>
    <col min="72" max="72" width="9.125" style="0" customWidth="1"/>
    <col min="73" max="73" width="1.625" style="0" customWidth="1"/>
    <col min="74" max="75" width="9.125" style="0" bestFit="1" customWidth="1"/>
    <col min="76" max="76" width="1.625" style="0" customWidth="1"/>
    <col min="77" max="77" width="9.875" style="0" customWidth="1"/>
    <col min="78" max="78" width="9.625" style="0" customWidth="1"/>
    <col min="79" max="79" width="9.375" style="0" customWidth="1"/>
    <col min="80" max="80" width="9.125" style="0" customWidth="1"/>
    <col min="81" max="81" width="3.50390625" style="0" customWidth="1"/>
    <col min="82" max="85" width="8.875" style="0" customWidth="1"/>
    <col min="86" max="86" width="3.375" style="0" customWidth="1"/>
  </cols>
  <sheetData>
    <row r="1" spans="2:90" ht="16.5">
      <c r="B1" t="s">
        <v>96</v>
      </c>
      <c r="L1" t="s">
        <v>97</v>
      </c>
      <c r="AC1" t="s">
        <v>59</v>
      </c>
      <c r="AH1" s="2" t="s">
        <v>66</v>
      </c>
      <c r="AI1" s="2"/>
      <c r="AJ1" s="2"/>
      <c r="AK1" s="2"/>
      <c r="BA1" t="s">
        <v>44</v>
      </c>
      <c r="BF1" t="s">
        <v>30</v>
      </c>
      <c r="BP1" t="s">
        <v>139</v>
      </c>
      <c r="BY1" s="16" t="s">
        <v>65</v>
      </c>
      <c r="BZ1" s="16"/>
      <c r="CA1" s="16"/>
      <c r="CB1" s="16"/>
      <c r="CD1" s="2" t="s">
        <v>67</v>
      </c>
      <c r="CE1" s="2"/>
      <c r="CF1" s="2"/>
      <c r="CG1" s="2"/>
      <c r="CI1" s="2" t="s">
        <v>68</v>
      </c>
      <c r="CJ1" s="2"/>
      <c r="CK1" s="2"/>
      <c r="CL1" s="2"/>
    </row>
    <row r="2" spans="2:89" ht="52.5">
      <c r="B2" t="s">
        <v>60</v>
      </c>
      <c r="G2" t="s">
        <v>61</v>
      </c>
      <c r="L2" t="s">
        <v>60</v>
      </c>
      <c r="Q2" t="s">
        <v>61</v>
      </c>
      <c r="X2" t="s">
        <v>60</v>
      </c>
      <c r="Z2" t="s">
        <v>61</v>
      </c>
      <c r="AC2" t="s">
        <v>60</v>
      </c>
      <c r="AD2" t="s">
        <v>61</v>
      </c>
      <c r="AH2" t="s">
        <v>60</v>
      </c>
      <c r="AJ2" t="s">
        <v>61</v>
      </c>
      <c r="AM2" t="s">
        <v>62</v>
      </c>
      <c r="BA2" t="s">
        <v>60</v>
      </c>
      <c r="BC2" t="s">
        <v>61</v>
      </c>
      <c r="BE2" s="14"/>
      <c r="BF2" s="14" t="s">
        <v>32</v>
      </c>
      <c r="BG2" s="14" t="s">
        <v>33</v>
      </c>
      <c r="BH2" s="14" t="s">
        <v>34</v>
      </c>
      <c r="BI2" s="14" t="s">
        <v>35</v>
      </c>
      <c r="BJ2" s="14" t="s">
        <v>159</v>
      </c>
      <c r="BK2" s="14" t="s">
        <v>160</v>
      </c>
      <c r="BL2" s="14" t="s">
        <v>27</v>
      </c>
      <c r="BM2" s="14" t="s">
        <v>28</v>
      </c>
      <c r="BN2" s="14" t="s">
        <v>29</v>
      </c>
      <c r="BO2" s="14"/>
      <c r="BP2" s="14" t="s">
        <v>84</v>
      </c>
      <c r="BQ2" s="14"/>
      <c r="BR2" s="14"/>
      <c r="BS2" s="14" t="s">
        <v>86</v>
      </c>
      <c r="BT2" s="14"/>
      <c r="BV2" t="s">
        <v>61</v>
      </c>
      <c r="BY2" t="s">
        <v>60</v>
      </c>
      <c r="CA2" t="s">
        <v>61</v>
      </c>
      <c r="CD2" t="s">
        <v>60</v>
      </c>
      <c r="CF2" t="s">
        <v>61</v>
      </c>
      <c r="CI2" t="s">
        <v>84</v>
      </c>
      <c r="CK2" t="s">
        <v>86</v>
      </c>
    </row>
    <row r="3" spans="2:77" ht="16.5">
      <c r="B3" t="s">
        <v>114</v>
      </c>
      <c r="D3" t="s">
        <v>115</v>
      </c>
      <c r="G3" t="s">
        <v>114</v>
      </c>
      <c r="I3" t="s">
        <v>115</v>
      </c>
      <c r="L3" t="s">
        <v>114</v>
      </c>
      <c r="N3" t="s">
        <v>115</v>
      </c>
      <c r="Q3" t="s">
        <v>114</v>
      </c>
      <c r="S3" t="s">
        <v>115</v>
      </c>
      <c r="V3" t="s">
        <v>116</v>
      </c>
      <c r="X3" t="s">
        <v>117</v>
      </c>
      <c r="AE3" t="s">
        <v>119</v>
      </c>
      <c r="AH3" t="s">
        <v>79</v>
      </c>
      <c r="AM3" t="s">
        <v>80</v>
      </c>
      <c r="AN3" t="s">
        <v>81</v>
      </c>
      <c r="AP3" t="s">
        <v>82</v>
      </c>
      <c r="AS3" t="s">
        <v>126</v>
      </c>
      <c r="AT3" t="s">
        <v>81</v>
      </c>
      <c r="AV3" t="s">
        <v>82</v>
      </c>
      <c r="BA3" t="s">
        <v>45</v>
      </c>
      <c r="BE3" s="14"/>
      <c r="BP3" s="16" t="s">
        <v>140</v>
      </c>
      <c r="BQ3" s="16"/>
      <c r="BS3" t="s">
        <v>63</v>
      </c>
      <c r="BV3" s="16" t="s">
        <v>125</v>
      </c>
      <c r="BW3" s="16"/>
      <c r="BY3" t="s">
        <v>64</v>
      </c>
    </row>
    <row r="4" spans="2:90" ht="16.5">
      <c r="B4" t="s">
        <v>127</v>
      </c>
      <c r="C4" t="s">
        <v>128</v>
      </c>
      <c r="D4" t="s">
        <v>127</v>
      </c>
      <c r="E4" t="s">
        <v>128</v>
      </c>
      <c r="G4" t="s">
        <v>127</v>
      </c>
      <c r="H4" t="s">
        <v>128</v>
      </c>
      <c r="I4" t="s">
        <v>127</v>
      </c>
      <c r="J4" t="s">
        <v>128</v>
      </c>
      <c r="L4" t="s">
        <v>127</v>
      </c>
      <c r="M4" t="s">
        <v>128</v>
      </c>
      <c r="N4" t="s">
        <v>127</v>
      </c>
      <c r="O4" t="s">
        <v>128</v>
      </c>
      <c r="Q4" t="s">
        <v>127</v>
      </c>
      <c r="R4" t="s">
        <v>128</v>
      </c>
      <c r="S4" t="s">
        <v>127</v>
      </c>
      <c r="T4" t="s">
        <v>128</v>
      </c>
      <c r="V4" t="s">
        <v>129</v>
      </c>
      <c r="X4" t="s">
        <v>127</v>
      </c>
      <c r="Y4" t="s">
        <v>128</v>
      </c>
      <c r="Z4" t="s">
        <v>127</v>
      </c>
      <c r="AA4" t="s">
        <v>128</v>
      </c>
      <c r="AE4" t="s">
        <v>120</v>
      </c>
      <c r="AH4" t="s">
        <v>130</v>
      </c>
      <c r="AJ4" t="s">
        <v>130</v>
      </c>
      <c r="AM4" t="s">
        <v>131</v>
      </c>
      <c r="AN4" s="2" t="s">
        <v>69</v>
      </c>
      <c r="AO4" t="s">
        <v>70</v>
      </c>
      <c r="AP4" s="2" t="s">
        <v>69</v>
      </c>
      <c r="AQ4" t="s">
        <v>70</v>
      </c>
      <c r="AS4" s="2" t="s">
        <v>71</v>
      </c>
      <c r="AT4" s="7" t="s">
        <v>69</v>
      </c>
      <c r="AU4" s="2" t="s">
        <v>70</v>
      </c>
      <c r="AV4" s="7" t="s">
        <v>69</v>
      </c>
      <c r="AW4" s="2" t="s">
        <v>70</v>
      </c>
      <c r="AZ4" t="s">
        <v>46</v>
      </c>
      <c r="BA4" t="s">
        <v>81</v>
      </c>
      <c r="BB4" t="s">
        <v>82</v>
      </c>
      <c r="BC4" t="s">
        <v>81</v>
      </c>
      <c r="BD4" t="s">
        <v>82</v>
      </c>
      <c r="BE4" s="14"/>
      <c r="BF4" t="s">
        <v>31</v>
      </c>
      <c r="BG4" s="14"/>
      <c r="BH4" s="14"/>
      <c r="BI4" s="14"/>
      <c r="BJ4" s="14"/>
      <c r="BK4" s="14"/>
      <c r="BL4" s="14"/>
      <c r="BM4" s="14"/>
      <c r="BN4" s="14"/>
      <c r="BO4" s="14"/>
      <c r="BP4" t="s">
        <v>81</v>
      </c>
      <c r="BQ4" t="s">
        <v>82</v>
      </c>
      <c r="BS4" t="s">
        <v>81</v>
      </c>
      <c r="BT4" t="s">
        <v>82</v>
      </c>
      <c r="BU4" s="14"/>
      <c r="BV4" t="s">
        <v>81</v>
      </c>
      <c r="BW4" t="s">
        <v>82</v>
      </c>
      <c r="BY4" t="s">
        <v>81</v>
      </c>
      <c r="BZ4" t="s">
        <v>82</v>
      </c>
      <c r="CA4" t="s">
        <v>81</v>
      </c>
      <c r="CB4" t="s">
        <v>82</v>
      </c>
      <c r="CD4" t="s">
        <v>81</v>
      </c>
      <c r="CE4" t="s">
        <v>82</v>
      </c>
      <c r="CF4" t="s">
        <v>81</v>
      </c>
      <c r="CG4" t="s">
        <v>82</v>
      </c>
      <c r="CI4" t="s">
        <v>81</v>
      </c>
      <c r="CJ4" t="s">
        <v>82</v>
      </c>
      <c r="CK4" t="s">
        <v>81</v>
      </c>
      <c r="CL4" t="s">
        <v>82</v>
      </c>
    </row>
    <row r="5" spans="2:89" ht="16.5">
      <c r="B5" t="s">
        <v>72</v>
      </c>
      <c r="D5" t="s">
        <v>129</v>
      </c>
      <c r="G5" t="s">
        <v>72</v>
      </c>
      <c r="I5" t="s">
        <v>129</v>
      </c>
      <c r="L5" t="s">
        <v>72</v>
      </c>
      <c r="N5" t="s">
        <v>129</v>
      </c>
      <c r="Q5" t="s">
        <v>72</v>
      </c>
      <c r="S5" t="s">
        <v>129</v>
      </c>
      <c r="AM5" t="s">
        <v>129</v>
      </c>
      <c r="AS5" t="s">
        <v>129</v>
      </c>
      <c r="BA5" t="s">
        <v>49</v>
      </c>
      <c r="BC5" t="s">
        <v>49</v>
      </c>
      <c r="BE5" s="14"/>
      <c r="BF5" s="14" t="s">
        <v>49</v>
      </c>
      <c r="BG5" s="14" t="s">
        <v>49</v>
      </c>
      <c r="BH5" s="14" t="s">
        <v>49</v>
      </c>
      <c r="BI5" s="14" t="s">
        <v>36</v>
      </c>
      <c r="BJ5" s="14" t="s">
        <v>83</v>
      </c>
      <c r="BK5" s="14" t="s">
        <v>36</v>
      </c>
      <c r="BL5" s="14" t="s">
        <v>83</v>
      </c>
      <c r="BM5" s="14" t="s">
        <v>49</v>
      </c>
      <c r="BN5" s="14" t="s">
        <v>49</v>
      </c>
      <c r="BO5" s="14"/>
      <c r="BP5" t="s">
        <v>49</v>
      </c>
      <c r="BS5" t="s">
        <v>49</v>
      </c>
      <c r="BU5" s="14"/>
      <c r="BV5" t="s">
        <v>129</v>
      </c>
      <c r="BY5" t="s">
        <v>129</v>
      </c>
      <c r="CA5" t="s">
        <v>129</v>
      </c>
      <c r="CD5" t="s">
        <v>129</v>
      </c>
      <c r="CF5" t="s">
        <v>129</v>
      </c>
      <c r="CI5" t="s">
        <v>129</v>
      </c>
      <c r="CK5" t="s">
        <v>129</v>
      </c>
    </row>
    <row r="6" spans="2:80" ht="16.5">
      <c r="B6" t="s">
        <v>38</v>
      </c>
      <c r="L6" t="s">
        <v>38</v>
      </c>
      <c r="BA6" t="s">
        <v>39</v>
      </c>
      <c r="BC6" t="s">
        <v>47</v>
      </c>
      <c r="BE6" s="14"/>
      <c r="BF6" s="14"/>
      <c r="BG6" s="14"/>
      <c r="BH6" s="14"/>
      <c r="BI6" s="18" t="s">
        <v>124</v>
      </c>
      <c r="BJ6" s="14"/>
      <c r="BK6" s="14"/>
      <c r="BL6" s="14"/>
      <c r="BM6" s="14"/>
      <c r="BN6" s="14"/>
      <c r="BO6" s="14"/>
      <c r="BP6" t="s">
        <v>39</v>
      </c>
      <c r="BS6" t="s">
        <v>47</v>
      </c>
      <c r="BU6" s="14"/>
      <c r="BV6" t="s">
        <v>40</v>
      </c>
      <c r="BY6" s="7" t="s">
        <v>19</v>
      </c>
      <c r="BZ6" s="7"/>
      <c r="CA6" s="7"/>
      <c r="CB6" s="7"/>
    </row>
    <row r="7" spans="1:74" ht="16.5">
      <c r="A7" s="1">
        <v>39029</v>
      </c>
      <c r="AF7" t="s">
        <v>87</v>
      </c>
      <c r="AH7">
        <v>-23.1</v>
      </c>
      <c r="AJ7">
        <v>36.6</v>
      </c>
      <c r="BV7" s="16">
        <f>(257.26-256.31)/0.02236</f>
        <v>42.48658318425709</v>
      </c>
    </row>
    <row r="8" spans="1:55" ht="16.5">
      <c r="A8" s="1">
        <v>39041</v>
      </c>
      <c r="AS8">
        <v>960</v>
      </c>
      <c r="AT8" s="2">
        <f>-4-90</f>
        <v>-94</v>
      </c>
      <c r="AU8">
        <f>-895+(960+945)</f>
        <v>1010</v>
      </c>
      <c r="AV8" s="2">
        <f>155-90</f>
        <v>65</v>
      </c>
      <c r="AW8">
        <f>-985+(960+945)</f>
        <v>920</v>
      </c>
      <c r="AX8" t="s">
        <v>0</v>
      </c>
      <c r="AY8" t="s">
        <v>1</v>
      </c>
      <c r="BA8" t="s">
        <v>2</v>
      </c>
      <c r="BC8" t="s">
        <v>3</v>
      </c>
    </row>
    <row r="9" spans="1:74" ht="16.5">
      <c r="A9" s="1">
        <v>39043</v>
      </c>
      <c r="AH9" t="s">
        <v>132</v>
      </c>
      <c r="AM9" s="2">
        <v>940</v>
      </c>
      <c r="AN9">
        <f>-1022-5</f>
        <v>-1027</v>
      </c>
      <c r="AO9">
        <v>81</v>
      </c>
      <c r="AP9">
        <f>-862-5</f>
        <v>-867</v>
      </c>
      <c r="AQ9">
        <v>-11</v>
      </c>
      <c r="AX9" t="s">
        <v>0</v>
      </c>
      <c r="BC9" t="s">
        <v>4</v>
      </c>
      <c r="BV9" t="s">
        <v>37</v>
      </c>
    </row>
    <row r="10" spans="1:55" ht="16.5">
      <c r="A10" s="1">
        <v>39091</v>
      </c>
      <c r="D10" t="s">
        <v>5</v>
      </c>
      <c r="E10" t="s">
        <v>5</v>
      </c>
      <c r="I10">
        <v>73.267235</v>
      </c>
      <c r="J10">
        <v>73.588527</v>
      </c>
      <c r="S10">
        <f aca="true" t="shared" si="0" ref="S10:S44">I10</f>
        <v>73.267235</v>
      </c>
      <c r="T10">
        <f aca="true" t="shared" si="1" ref="T10:T49">J10</f>
        <v>73.588527</v>
      </c>
      <c r="V10">
        <v>975.866</v>
      </c>
      <c r="X10" t="s">
        <v>5</v>
      </c>
      <c r="Y10" t="s">
        <v>5</v>
      </c>
      <c r="Z10" s="6">
        <f>S10+V10</f>
        <v>1049.133235</v>
      </c>
      <c r="AA10" s="6">
        <f>T10+V10</f>
        <v>1049.4545269999999</v>
      </c>
      <c r="AD10">
        <f>11.16-((Z10+AA10)/2-1045.761)</f>
        <v>7.627118999999912</v>
      </c>
      <c r="AS10" s="2">
        <v>-960</v>
      </c>
      <c r="AT10">
        <v>-70.3</v>
      </c>
      <c r="AU10">
        <f>1029.6-15</f>
        <v>1014.5999999999999</v>
      </c>
      <c r="AV10">
        <v>90.3</v>
      </c>
      <c r="AW10">
        <f>937.7-15</f>
        <v>922.7</v>
      </c>
      <c r="BC10" t="s">
        <v>6</v>
      </c>
    </row>
    <row r="11" spans="1:87" ht="16.5">
      <c r="A11" s="11">
        <v>39094</v>
      </c>
      <c r="D11">
        <v>82.387279</v>
      </c>
      <c r="E11">
        <v>83.299964</v>
      </c>
      <c r="I11" t="s">
        <v>5</v>
      </c>
      <c r="J11" t="s">
        <v>5</v>
      </c>
      <c r="N11">
        <f>D11</f>
        <v>82.387279</v>
      </c>
      <c r="O11">
        <f>E11</f>
        <v>83.299964</v>
      </c>
      <c r="S11" t="str">
        <f t="shared" si="0"/>
        <v>N/A</v>
      </c>
      <c r="T11" t="str">
        <f t="shared" si="1"/>
        <v>N/A</v>
      </c>
      <c r="V11">
        <v>975.765</v>
      </c>
      <c r="X11" s="2">
        <f>N11-V11</f>
        <v>-893.377721</v>
      </c>
      <c r="Y11" s="2">
        <f>O11-V11</f>
        <v>-892.4650359999999</v>
      </c>
      <c r="Z11" s="8" t="s">
        <v>5</v>
      </c>
      <c r="AA11" s="8" t="s">
        <v>5</v>
      </c>
      <c r="AC11">
        <f>1.56-((X11+Y11)/2-(-891.276))</f>
        <v>3.2053784999999926</v>
      </c>
      <c r="AM11">
        <v>945</v>
      </c>
      <c r="AN11">
        <v>-1029.2</v>
      </c>
      <c r="AO11">
        <v>81.7</v>
      </c>
      <c r="AP11">
        <v>-864.9</v>
      </c>
      <c r="AQ11">
        <v>-11.7</v>
      </c>
      <c r="CI11" t="s">
        <v>7</v>
      </c>
    </row>
    <row r="12" spans="1:22" ht="16.5">
      <c r="A12" s="11">
        <v>39104</v>
      </c>
      <c r="I12" t="s">
        <v>8</v>
      </c>
      <c r="J12" t="s">
        <v>8</v>
      </c>
      <c r="S12" t="str">
        <f t="shared" si="0"/>
        <v>West</v>
      </c>
      <c r="T12" t="str">
        <f t="shared" si="1"/>
        <v>West</v>
      </c>
      <c r="V12">
        <v>975.104</v>
      </c>
    </row>
    <row r="13" spans="1:49" ht="16.5">
      <c r="A13" s="1">
        <v>39127</v>
      </c>
      <c r="B13" s="7">
        <v>118.86352</v>
      </c>
      <c r="C13" s="7">
        <v>119.01662</v>
      </c>
      <c r="D13" s="7">
        <v>79.034217</v>
      </c>
      <c r="E13" s="7">
        <v>79.235496</v>
      </c>
      <c r="F13" s="7"/>
      <c r="G13" s="7">
        <v>1988.2357</v>
      </c>
      <c r="H13" s="7">
        <v>1988.7456</v>
      </c>
      <c r="I13">
        <f>90.476076-11.5</f>
        <v>78.976076</v>
      </c>
      <c r="J13">
        <f>91.029482-11.5</f>
        <v>79.529482</v>
      </c>
      <c r="L13">
        <f aca="true" t="shared" si="2" ref="L13:L35">B13</f>
        <v>118.86352</v>
      </c>
      <c r="M13">
        <f aca="true" t="shared" si="3" ref="M13:M35">C13</f>
        <v>119.01662</v>
      </c>
      <c r="N13">
        <f aca="true" t="shared" si="4" ref="N13:N46">D13</f>
        <v>79.034217</v>
      </c>
      <c r="O13">
        <f aca="true" t="shared" si="5" ref="O13:O43">E13</f>
        <v>79.235496</v>
      </c>
      <c r="Q13">
        <f aca="true" t="shared" si="6" ref="Q13:Q36">G13</f>
        <v>1988.2357</v>
      </c>
      <c r="R13">
        <f aca="true" t="shared" si="7" ref="R13:R36">H13</f>
        <v>1988.7456</v>
      </c>
      <c r="S13">
        <f t="shared" si="0"/>
        <v>78.976076</v>
      </c>
      <c r="T13">
        <f t="shared" si="1"/>
        <v>79.529482</v>
      </c>
      <c r="V13" s="3">
        <v>971.844</v>
      </c>
      <c r="X13" s="2">
        <f>N13-V13</f>
        <v>-892.809783</v>
      </c>
      <c r="Y13" s="2">
        <f>O13-V13</f>
        <v>-892.608504</v>
      </c>
      <c r="Z13" s="9">
        <f>S13+V13</f>
        <v>1050.820076</v>
      </c>
      <c r="AA13" s="9">
        <f>T13+V13</f>
        <v>1051.373482</v>
      </c>
      <c r="AC13">
        <f>1.56-((X13+Y13)/2-(-891.276))</f>
        <v>2.9931435000000284</v>
      </c>
      <c r="AD13">
        <f>11.16-((Z13+AA13)/2-1045.761)</f>
        <v>5.824220999999998</v>
      </c>
      <c r="AE13" t="s">
        <v>9</v>
      </c>
      <c r="AH13">
        <f>(X13-1024*0.0545)-(L13-1024+7.5)*1.031</f>
        <v>-23.154572120000125</v>
      </c>
      <c r="AI13">
        <f>(Y13-1024*0.0545)-(M13-1024+7.5)*1.031</f>
        <v>-23.11113922000004</v>
      </c>
      <c r="AJ13">
        <f>(Z13-2048*0.0545)-(Q13-1024-15.56)*1.031+2.5</f>
        <v>-36.38057069999991</v>
      </c>
      <c r="AK13">
        <f>(AA13-2048*0.0545)-(R13-1024-15.56)*1.031+2.5</f>
        <v>-36.35287159999996</v>
      </c>
      <c r="AM13">
        <v>945</v>
      </c>
      <c r="AN13">
        <v>-1029.6</v>
      </c>
      <c r="AO13">
        <v>81.7</v>
      </c>
      <c r="AP13">
        <v>-864.7</v>
      </c>
      <c r="AQ13">
        <v>-11.9</v>
      </c>
      <c r="AS13">
        <v>-945</v>
      </c>
      <c r="AT13">
        <v>-71.2</v>
      </c>
      <c r="AU13">
        <v>1014.3</v>
      </c>
      <c r="AV13">
        <v>90.5</v>
      </c>
      <c r="AW13">
        <v>922.3</v>
      </c>
    </row>
    <row r="14" spans="1:27" ht="16.5">
      <c r="A14" s="1">
        <v>39138</v>
      </c>
      <c r="B14" s="7" t="s">
        <v>10</v>
      </c>
      <c r="C14" s="7" t="s">
        <v>10</v>
      </c>
      <c r="D14" s="7" t="s">
        <v>11</v>
      </c>
      <c r="E14" s="7" t="s">
        <v>11</v>
      </c>
      <c r="F14" s="7"/>
      <c r="G14" s="7" t="s">
        <v>10</v>
      </c>
      <c r="H14" s="7" t="s">
        <v>10</v>
      </c>
      <c r="I14" t="s">
        <v>11</v>
      </c>
      <c r="J14" t="s">
        <v>11</v>
      </c>
      <c r="L14" t="str">
        <f t="shared" si="2"/>
        <v>No VLS</v>
      </c>
      <c r="M14" t="str">
        <f t="shared" si="3"/>
        <v>No VLS</v>
      </c>
      <c r="N14" t="str">
        <f t="shared" si="4"/>
        <v>CT on</v>
      </c>
      <c r="O14" t="str">
        <f t="shared" si="5"/>
        <v>CT on</v>
      </c>
      <c r="Q14" t="str">
        <f t="shared" si="6"/>
        <v>No VLS</v>
      </c>
      <c r="R14" t="str">
        <f t="shared" si="7"/>
        <v>No VLS</v>
      </c>
      <c r="S14" t="str">
        <f t="shared" si="0"/>
        <v>CT on</v>
      </c>
      <c r="T14" t="str">
        <f t="shared" si="1"/>
        <v>CT on</v>
      </c>
      <c r="V14" s="5"/>
      <c r="X14" s="2"/>
      <c r="Y14" s="2"/>
      <c r="Z14" s="6"/>
      <c r="AA14" s="9"/>
    </row>
    <row r="15" spans="1:49" ht="16.5">
      <c r="A15" s="1">
        <v>39141</v>
      </c>
      <c r="B15" s="7">
        <v>118.07048</v>
      </c>
      <c r="C15" s="7">
        <v>118.50501</v>
      </c>
      <c r="D15" s="7">
        <v>75.338492</v>
      </c>
      <c r="E15" s="7">
        <v>75.777314</v>
      </c>
      <c r="F15" s="7"/>
      <c r="G15" s="7">
        <v>1988.4481</v>
      </c>
      <c r="H15" s="7">
        <v>1988.4168</v>
      </c>
      <c r="I15">
        <v>82.794258</v>
      </c>
      <c r="J15">
        <v>82.781949</v>
      </c>
      <c r="L15">
        <f t="shared" si="2"/>
        <v>118.07048</v>
      </c>
      <c r="M15">
        <f t="shared" si="3"/>
        <v>118.50501</v>
      </c>
      <c r="N15">
        <f t="shared" si="4"/>
        <v>75.338492</v>
      </c>
      <c r="O15">
        <f t="shared" si="5"/>
        <v>75.777314</v>
      </c>
      <c r="Q15">
        <f t="shared" si="6"/>
        <v>1988.4481</v>
      </c>
      <c r="R15">
        <f t="shared" si="7"/>
        <v>1988.4168</v>
      </c>
      <c r="S15">
        <f t="shared" si="0"/>
        <v>82.794258</v>
      </c>
      <c r="T15">
        <f t="shared" si="1"/>
        <v>82.781949</v>
      </c>
      <c r="V15">
        <v>968.88</v>
      </c>
      <c r="X15" s="2">
        <f aca="true" t="shared" si="8" ref="X15:X38">N15-V15</f>
        <v>-893.541508</v>
      </c>
      <c r="Y15" s="2">
        <f aca="true" t="shared" si="9" ref="Y15:Y38">O15-V15</f>
        <v>-893.102686</v>
      </c>
      <c r="Z15" s="9">
        <f aca="true" t="shared" si="10" ref="Z15:Z38">S15+V15</f>
        <v>1051.674258</v>
      </c>
      <c r="AA15" s="9">
        <f aca="true" t="shared" si="11" ref="AA15:AA38">T15+V15</f>
        <v>1051.661949</v>
      </c>
      <c r="AC15">
        <f aca="true" t="shared" si="12" ref="AC15:AC21">1.56-((X15+Y15)/2-(-891.276))</f>
        <v>3.6060970000000316</v>
      </c>
      <c r="AD15">
        <f aca="true" t="shared" si="13" ref="AD15:AD22">11.16-((Z15+AA15)/2-1045.761)</f>
        <v>5.252896499999824</v>
      </c>
      <c r="AH15">
        <f>(X15-1024*0.0545)-(L15-1024+7.5)*1.031</f>
        <v>-23.06867288000001</v>
      </c>
      <c r="AI15">
        <f>(Y15-1024*0.0545)-(M15-1024+7.5)*1.031</f>
        <v>-23.077851310000028</v>
      </c>
      <c r="AJ15">
        <f>(Z15-2048*0.0545)-(Q15-1024-15.56)*1.031+2.5</f>
        <v>-35.74537310000005</v>
      </c>
      <c r="AK15">
        <f>(AA15-2048*0.0545)-(R15-1024-15.56)*1.031+2.5</f>
        <v>-35.72541179999985</v>
      </c>
      <c r="AM15">
        <v>945</v>
      </c>
      <c r="AN15">
        <v>-1029.2</v>
      </c>
      <c r="AO15">
        <v>81.7</v>
      </c>
      <c r="AP15">
        <v>-864.7</v>
      </c>
      <c r="AQ15">
        <v>-11.6</v>
      </c>
      <c r="AS15">
        <v>-945</v>
      </c>
      <c r="AT15">
        <v>-71</v>
      </c>
      <c r="AU15">
        <v>1014.1</v>
      </c>
      <c r="AV15">
        <v>90.3</v>
      </c>
      <c r="AW15">
        <v>922.7</v>
      </c>
    </row>
    <row r="16" spans="1:49" ht="16.5">
      <c r="A16" s="1">
        <v>39150</v>
      </c>
      <c r="B16" s="7">
        <v>118.33972</v>
      </c>
      <c r="C16" s="7">
        <v>118.33972</v>
      </c>
      <c r="D16" s="7">
        <v>72.703602</v>
      </c>
      <c r="E16" s="7">
        <v>72.960667</v>
      </c>
      <c r="F16" s="7"/>
      <c r="G16" s="7">
        <v>1988.4665</v>
      </c>
      <c r="H16" s="7">
        <v>1988.3411</v>
      </c>
      <c r="I16">
        <v>84.787819</v>
      </c>
      <c r="J16">
        <v>84.878165</v>
      </c>
      <c r="L16">
        <f t="shared" si="2"/>
        <v>118.33972</v>
      </c>
      <c r="M16">
        <f t="shared" si="3"/>
        <v>118.33972</v>
      </c>
      <c r="N16">
        <f t="shared" si="4"/>
        <v>72.703602</v>
      </c>
      <c r="O16">
        <f t="shared" si="5"/>
        <v>72.960667</v>
      </c>
      <c r="Q16">
        <f t="shared" si="6"/>
        <v>1988.4665</v>
      </c>
      <c r="R16">
        <f t="shared" si="7"/>
        <v>1988.3411</v>
      </c>
      <c r="S16">
        <f t="shared" si="0"/>
        <v>84.787819</v>
      </c>
      <c r="T16">
        <f t="shared" si="1"/>
        <v>84.878165</v>
      </c>
      <c r="V16">
        <v>966.68</v>
      </c>
      <c r="X16" s="2">
        <f t="shared" si="8"/>
        <v>-893.9763979999999</v>
      </c>
      <c r="Y16" s="2">
        <f t="shared" si="9"/>
        <v>-893.719333</v>
      </c>
      <c r="Z16" s="9">
        <f t="shared" si="10"/>
        <v>1051.467819</v>
      </c>
      <c r="AA16" s="9">
        <f t="shared" si="11"/>
        <v>1051.558165</v>
      </c>
      <c r="AC16">
        <f t="shared" si="12"/>
        <v>4.131865499999945</v>
      </c>
      <c r="AD16">
        <f t="shared" si="13"/>
        <v>5.408008000000027</v>
      </c>
      <c r="AH16">
        <f>(X16-1024*0.0545)-(L16-1024+7.5)*1.031</f>
        <v>-23.78114931999994</v>
      </c>
      <c r="AI16">
        <f>(Y16-1024*0.0545)-(M16-1024+7.5)*1.031</f>
        <v>-23.524084320000043</v>
      </c>
      <c r="AJ16">
        <f>(Z16-2048*0.0545)-(Q16-1024-15.56)*1.031+2.5</f>
        <v>-35.97078250000004</v>
      </c>
      <c r="AK16">
        <f>(AA16-2048*0.0545)-(R16-1024-15.56)*1.031+2.5</f>
        <v>-35.751149100000134</v>
      </c>
      <c r="AM16">
        <v>945</v>
      </c>
      <c r="AN16">
        <v>-1029.3</v>
      </c>
      <c r="AO16">
        <v>81.7</v>
      </c>
      <c r="AP16">
        <v>-864.4</v>
      </c>
      <c r="AQ16">
        <v>-12</v>
      </c>
      <c r="AS16">
        <v>-945</v>
      </c>
      <c r="AT16">
        <v>-71</v>
      </c>
      <c r="AU16">
        <v>1014.1</v>
      </c>
      <c r="AV16">
        <v>90.7</v>
      </c>
      <c r="AW16">
        <v>922.7</v>
      </c>
    </row>
    <row r="17" spans="1:49" ht="16.5">
      <c r="A17" s="11">
        <v>39159</v>
      </c>
      <c r="B17" s="7" t="s">
        <v>10</v>
      </c>
      <c r="C17" s="7" t="s">
        <v>10</v>
      </c>
      <c r="D17" s="7">
        <v>69.869029</v>
      </c>
      <c r="E17" s="7">
        <v>70.0688</v>
      </c>
      <c r="F17" s="7"/>
      <c r="G17" s="7" t="s">
        <v>10</v>
      </c>
      <c r="H17" s="7" t="s">
        <v>10</v>
      </c>
      <c r="I17">
        <v>87.425559</v>
      </c>
      <c r="J17">
        <v>87.163675</v>
      </c>
      <c r="L17" t="str">
        <f t="shared" si="2"/>
        <v>No VLS</v>
      </c>
      <c r="M17" t="str">
        <f t="shared" si="3"/>
        <v>No VLS</v>
      </c>
      <c r="N17">
        <f t="shared" si="4"/>
        <v>69.869029</v>
      </c>
      <c r="O17">
        <f t="shared" si="5"/>
        <v>70.0688</v>
      </c>
      <c r="Q17" t="str">
        <f t="shared" si="6"/>
        <v>No VLS</v>
      </c>
      <c r="R17" t="str">
        <f t="shared" si="7"/>
        <v>No VLS</v>
      </c>
      <c r="S17">
        <f t="shared" si="0"/>
        <v>87.425559</v>
      </c>
      <c r="T17">
        <f t="shared" si="1"/>
        <v>87.163675</v>
      </c>
      <c r="V17">
        <v>964.33</v>
      </c>
      <c r="X17" s="2">
        <f t="shared" si="8"/>
        <v>-894.4609710000001</v>
      </c>
      <c r="Y17" s="2">
        <f t="shared" si="9"/>
        <v>-894.2612</v>
      </c>
      <c r="Z17" s="9">
        <f t="shared" si="10"/>
        <v>1051.755559</v>
      </c>
      <c r="AA17" s="9">
        <f t="shared" si="11"/>
        <v>1051.493675</v>
      </c>
      <c r="AC17">
        <f t="shared" si="12"/>
        <v>4.645085500000105</v>
      </c>
      <c r="AD17">
        <f t="shared" si="13"/>
        <v>5.296383000000024</v>
      </c>
      <c r="AM17">
        <v>945</v>
      </c>
      <c r="AN17" t="s">
        <v>5</v>
      </c>
      <c r="AO17" t="s">
        <v>5</v>
      </c>
      <c r="AP17" t="s">
        <v>5</v>
      </c>
      <c r="AQ17" t="s">
        <v>5</v>
      </c>
      <c r="AS17">
        <v>-945</v>
      </c>
      <c r="AT17">
        <v>-70.8</v>
      </c>
      <c r="AU17">
        <v>1013.9</v>
      </c>
      <c r="AV17">
        <v>90.4</v>
      </c>
      <c r="AW17">
        <v>922.7</v>
      </c>
    </row>
    <row r="18" spans="1:49" ht="16.5">
      <c r="A18" s="1">
        <v>39166</v>
      </c>
      <c r="B18" s="7">
        <v>116.83439</v>
      </c>
      <c r="C18" s="7">
        <v>117.2175</v>
      </c>
      <c r="D18" s="7">
        <v>66.70565</v>
      </c>
      <c r="E18" s="7">
        <v>67.058996</v>
      </c>
      <c r="F18" s="7"/>
      <c r="G18" s="7">
        <v>1988.5533</v>
      </c>
      <c r="H18" s="7">
        <v>1987.886</v>
      </c>
      <c r="I18">
        <v>89.308761</v>
      </c>
      <c r="J18">
        <v>88.531649</v>
      </c>
      <c r="L18">
        <f t="shared" si="2"/>
        <v>116.83439</v>
      </c>
      <c r="M18">
        <f t="shared" si="3"/>
        <v>117.2175</v>
      </c>
      <c r="N18">
        <f t="shared" si="4"/>
        <v>66.70565</v>
      </c>
      <c r="O18">
        <f t="shared" si="5"/>
        <v>67.058996</v>
      </c>
      <c r="Q18">
        <f t="shared" si="6"/>
        <v>1988.5533</v>
      </c>
      <c r="R18">
        <f t="shared" si="7"/>
        <v>1987.886</v>
      </c>
      <c r="S18">
        <f t="shared" si="0"/>
        <v>89.308761</v>
      </c>
      <c r="T18">
        <f t="shared" si="1"/>
        <v>88.531649</v>
      </c>
      <c r="V18" s="7">
        <v>962.43</v>
      </c>
      <c r="X18" s="2">
        <f t="shared" si="8"/>
        <v>-895.72435</v>
      </c>
      <c r="Y18" s="2">
        <f t="shared" si="9"/>
        <v>-895.371004</v>
      </c>
      <c r="Z18" s="9">
        <f t="shared" si="10"/>
        <v>1051.738761</v>
      </c>
      <c r="AA18" s="9">
        <f t="shared" si="11"/>
        <v>1050.9616489999999</v>
      </c>
      <c r="AC18">
        <f t="shared" si="12"/>
        <v>5.831677000000068</v>
      </c>
      <c r="AD18">
        <f t="shared" si="13"/>
        <v>5.5707950000000075</v>
      </c>
      <c r="AH18">
        <f>(X18-1024*0.0545)-(L18-1024+7.5)*1.031</f>
        <v>-23.977106090000007</v>
      </c>
      <c r="AI18">
        <f>(Y18-1024*0.0545)-(M18-1024+7.5)*1.031</f>
        <v>-24.01874650000002</v>
      </c>
      <c r="AJ18">
        <f>(Z18-2048*0.0545)-(Q18-1024-15.56)*1.031+2.5</f>
        <v>-35.78933129999996</v>
      </c>
      <c r="AK18">
        <f>(AA18-2048*0.0545)-(R18-1024-15.56)*1.031+2.5</f>
        <v>-35.878457000000026</v>
      </c>
      <c r="AM18">
        <v>945</v>
      </c>
      <c r="AN18">
        <v>-1029.2</v>
      </c>
      <c r="AO18">
        <v>81.3</v>
      </c>
      <c r="AP18">
        <v>-864.5</v>
      </c>
      <c r="AQ18">
        <v>-11.4</v>
      </c>
      <c r="AS18">
        <v>-945</v>
      </c>
      <c r="AT18">
        <v>-71</v>
      </c>
      <c r="AU18">
        <v>1013.8</v>
      </c>
      <c r="AV18">
        <v>90.3</v>
      </c>
      <c r="AW18">
        <v>923.2</v>
      </c>
    </row>
    <row r="19" spans="1:49" ht="16.5">
      <c r="A19" s="11">
        <v>39173</v>
      </c>
      <c r="B19" s="7" t="s">
        <v>12</v>
      </c>
      <c r="C19" s="7" t="s">
        <v>12</v>
      </c>
      <c r="D19" s="7">
        <v>65.178561</v>
      </c>
      <c r="E19" s="7">
        <v>65.590331</v>
      </c>
      <c r="F19" s="7"/>
      <c r="G19" s="7" t="s">
        <v>12</v>
      </c>
      <c r="H19" s="7" t="s">
        <v>12</v>
      </c>
      <c r="I19">
        <v>91.625551</v>
      </c>
      <c r="J19">
        <v>90.957843</v>
      </c>
      <c r="L19" t="str">
        <f t="shared" si="2"/>
        <v>Wrong frm</v>
      </c>
      <c r="M19" t="str">
        <f t="shared" si="3"/>
        <v>Wrong frm</v>
      </c>
      <c r="N19">
        <f t="shared" si="4"/>
        <v>65.178561</v>
      </c>
      <c r="O19">
        <f t="shared" si="5"/>
        <v>65.590331</v>
      </c>
      <c r="Q19" t="str">
        <f t="shared" si="6"/>
        <v>Wrong frm</v>
      </c>
      <c r="R19" t="str">
        <f t="shared" si="7"/>
        <v>Wrong frm</v>
      </c>
      <c r="S19">
        <f t="shared" si="0"/>
        <v>91.625551</v>
      </c>
      <c r="T19">
        <f t="shared" si="1"/>
        <v>90.957843</v>
      </c>
      <c r="V19" s="7">
        <v>960.51</v>
      </c>
      <c r="X19" s="2">
        <f t="shared" si="8"/>
        <v>-895.331439</v>
      </c>
      <c r="Y19" s="2">
        <f t="shared" si="9"/>
        <v>-894.919669</v>
      </c>
      <c r="Z19" s="9">
        <f t="shared" si="10"/>
        <v>1052.135551</v>
      </c>
      <c r="AA19" s="9">
        <f t="shared" si="11"/>
        <v>1051.467843</v>
      </c>
      <c r="AC19">
        <f t="shared" si="12"/>
        <v>5.409554000000012</v>
      </c>
      <c r="AD19">
        <f t="shared" si="13"/>
        <v>5.119303000000091</v>
      </c>
      <c r="AM19">
        <v>945</v>
      </c>
      <c r="AN19">
        <v>-1029.3</v>
      </c>
      <c r="AO19">
        <v>81.2</v>
      </c>
      <c r="AP19">
        <v>-864.7</v>
      </c>
      <c r="AQ19">
        <v>-11.3</v>
      </c>
      <c r="AS19">
        <v>-945</v>
      </c>
      <c r="AT19">
        <v>-70.8</v>
      </c>
      <c r="AU19">
        <v>1013.8</v>
      </c>
      <c r="AV19">
        <v>90.4</v>
      </c>
      <c r="AW19">
        <v>923</v>
      </c>
    </row>
    <row r="20" spans="1:90" ht="16.5">
      <c r="A20" s="1">
        <v>39181</v>
      </c>
      <c r="B20" s="7">
        <v>115.94704</v>
      </c>
      <c r="C20" s="7">
        <v>116.72044</v>
      </c>
      <c r="D20" s="7">
        <v>61.53739</v>
      </c>
      <c r="E20" s="7">
        <v>62.294791</v>
      </c>
      <c r="F20" s="7"/>
      <c r="G20" s="7">
        <v>1988.5318</v>
      </c>
      <c r="H20" s="7">
        <v>1987.6801</v>
      </c>
      <c r="I20">
        <v>93.572081</v>
      </c>
      <c r="J20">
        <v>92.677755</v>
      </c>
      <c r="L20">
        <f t="shared" si="2"/>
        <v>115.94704</v>
      </c>
      <c r="M20">
        <f t="shared" si="3"/>
        <v>116.72044</v>
      </c>
      <c r="N20">
        <f t="shared" si="4"/>
        <v>61.53739</v>
      </c>
      <c r="O20">
        <f t="shared" si="5"/>
        <v>62.294791</v>
      </c>
      <c r="Q20">
        <f t="shared" si="6"/>
        <v>1988.5318</v>
      </c>
      <c r="R20">
        <f t="shared" si="7"/>
        <v>1987.6801</v>
      </c>
      <c r="S20">
        <f t="shared" si="0"/>
        <v>93.572081</v>
      </c>
      <c r="T20">
        <f t="shared" si="1"/>
        <v>92.677755</v>
      </c>
      <c r="V20" s="7">
        <v>958.30265</v>
      </c>
      <c r="X20" s="2">
        <f t="shared" si="8"/>
        <v>-896.76526</v>
      </c>
      <c r="Y20" s="2">
        <f t="shared" si="9"/>
        <v>-896.0078589999999</v>
      </c>
      <c r="Z20" s="9">
        <f t="shared" si="10"/>
        <v>1051.8747309999999</v>
      </c>
      <c r="AA20" s="9">
        <f t="shared" si="11"/>
        <v>1050.980405</v>
      </c>
      <c r="AC20">
        <f t="shared" si="12"/>
        <v>6.670559500000023</v>
      </c>
      <c r="AD20">
        <f t="shared" si="13"/>
        <v>5.493431999999903</v>
      </c>
      <c r="AH20">
        <f aca="true" t="shared" si="14" ref="AH20:AI23">(X20-1024*0.0545)-(L20-1024+7.5)*1.031</f>
        <v>-24.103158240000084</v>
      </c>
      <c r="AI20">
        <f t="shared" si="14"/>
        <v>-24.14313264000009</v>
      </c>
      <c r="AJ20">
        <f aca="true" t="shared" si="15" ref="AJ20:AK23">(Z20-2048*0.0545)-(Q20-1024-15.56)*1.031+2.5</f>
        <v>-35.6311948</v>
      </c>
      <c r="AK20">
        <f t="shared" si="15"/>
        <v>-35.64741809999998</v>
      </c>
      <c r="AM20">
        <v>945</v>
      </c>
      <c r="AN20">
        <v>-1028.9</v>
      </c>
      <c r="AO20">
        <v>81.2</v>
      </c>
      <c r="AP20">
        <v>-864.8</v>
      </c>
      <c r="AQ20">
        <v>-11.2</v>
      </c>
      <c r="AS20">
        <v>-945</v>
      </c>
      <c r="AT20">
        <v>-70.8</v>
      </c>
      <c r="AU20">
        <v>1013.8</v>
      </c>
      <c r="AV20">
        <v>90.3</v>
      </c>
      <c r="AW20">
        <v>923.2</v>
      </c>
      <c r="BA20" s="17">
        <v>-638.61</v>
      </c>
      <c r="BB20" s="17">
        <v>-637.651</v>
      </c>
      <c r="BC20" s="17">
        <v>975.118</v>
      </c>
      <c r="BD20" s="17">
        <v>974.129</v>
      </c>
      <c r="BF20">
        <v>320</v>
      </c>
      <c r="BG20" t="s">
        <v>53</v>
      </c>
      <c r="BH20" t="s">
        <v>54</v>
      </c>
      <c r="BI20">
        <v>1800</v>
      </c>
      <c r="BJ20" s="7">
        <f>(1800-BI20)*0.25</f>
        <v>0</v>
      </c>
      <c r="BK20">
        <v>1511</v>
      </c>
      <c r="BL20" s="7">
        <f>(1800-BK20)*0.24</f>
        <v>69.36</v>
      </c>
      <c r="BM20">
        <v>256</v>
      </c>
      <c r="BN20">
        <v>256</v>
      </c>
      <c r="BP20">
        <f aca="true" t="shared" si="16" ref="BP20:BQ22">BA20+(BM20-256)-256</f>
        <v>-894.61</v>
      </c>
      <c r="BQ20">
        <f t="shared" si="16"/>
        <v>-893.651</v>
      </c>
      <c r="BS20">
        <f>BC20+BL20</f>
        <v>1044.478</v>
      </c>
      <c r="BT20">
        <f>BD20+BL20</f>
        <v>1043.489</v>
      </c>
      <c r="BV20" s="7">
        <f aca="true" t="shared" si="17" ref="BV20:BW22">(BS20+$BV$7-146)*0.996</f>
        <v>937.2007248515201</v>
      </c>
      <c r="BW20" s="7">
        <f t="shared" si="17"/>
        <v>936.2156808515201</v>
      </c>
      <c r="BY20">
        <f>BP20-(945-AM20)</f>
        <v>-894.61</v>
      </c>
      <c r="BZ20">
        <f>BQ20-(945-AM20)</f>
        <v>-893.651</v>
      </c>
      <c r="CA20">
        <f>BV20-(945+AS20)</f>
        <v>937.2007248515201</v>
      </c>
      <c r="CB20">
        <f>BW20-(945+AS20)</f>
        <v>936.2156808515201</v>
      </c>
      <c r="CD20" s="7">
        <f aca="true" t="shared" si="18" ref="CD20:CE22">BY20*(-1)-(L20-1024+7.51)*1.031*(-1)</f>
        <v>-33.8497917599999</v>
      </c>
      <c r="CE20" s="7">
        <f t="shared" si="18"/>
        <v>-34.011416359999885</v>
      </c>
      <c r="CF20" s="7">
        <f aca="true" t="shared" si="19" ref="CF20:CG22">CA20*(-1)-(Q20-1024-15.56)*1.031*(-1)</f>
        <v>41.189200948479765</v>
      </c>
      <c r="CG20" s="7">
        <f t="shared" si="19"/>
        <v>41.296142248479896</v>
      </c>
      <c r="CI20" s="7">
        <f aca="true" t="shared" si="20" ref="CI20:CJ22">BY20*(-1)-(X20-1024*0.0545)*(-1)</f>
        <v>-57.96325999999999</v>
      </c>
      <c r="CJ20" s="7">
        <f t="shared" si="20"/>
        <v>-58.16485899999998</v>
      </c>
      <c r="CK20" s="7">
        <f aca="true" t="shared" si="21" ref="CK20:CL22">CF20*(-1)-(Z20-1024-15.56)*1.031*(-1)</f>
        <v>-28.492713287479887</v>
      </c>
      <c r="CL20" s="7">
        <f t="shared" si="21"/>
        <v>-29.521704693479876</v>
      </c>
    </row>
    <row r="21" spans="1:90" ht="16.5">
      <c r="A21" s="1">
        <v>39188</v>
      </c>
      <c r="B21" s="7">
        <v>116.25567</v>
      </c>
      <c r="C21" s="7">
        <v>116.66994</v>
      </c>
      <c r="D21" s="7">
        <v>60.245654</v>
      </c>
      <c r="E21" s="7">
        <v>60.658368</v>
      </c>
      <c r="F21" s="7"/>
      <c r="G21" s="7">
        <v>1988.7348</v>
      </c>
      <c r="H21" s="7">
        <v>1987.5988</v>
      </c>
      <c r="I21">
        <v>95.661883</v>
      </c>
      <c r="J21">
        <v>94.639833</v>
      </c>
      <c r="L21">
        <f t="shared" si="2"/>
        <v>116.25567</v>
      </c>
      <c r="M21">
        <f t="shared" si="3"/>
        <v>116.66994</v>
      </c>
      <c r="N21">
        <f t="shared" si="4"/>
        <v>60.245654</v>
      </c>
      <c r="O21">
        <f t="shared" si="5"/>
        <v>60.658368</v>
      </c>
      <c r="Q21">
        <f t="shared" si="6"/>
        <v>1988.7348</v>
      </c>
      <c r="R21">
        <f t="shared" si="7"/>
        <v>1987.5988</v>
      </c>
      <c r="S21">
        <f t="shared" si="0"/>
        <v>95.661883</v>
      </c>
      <c r="T21">
        <f t="shared" si="1"/>
        <v>94.639833</v>
      </c>
      <c r="V21" s="7">
        <v>956.40665</v>
      </c>
      <c r="X21" s="2">
        <f t="shared" si="8"/>
        <v>-896.1609960000001</v>
      </c>
      <c r="Y21" s="2">
        <f t="shared" si="9"/>
        <v>-895.748282</v>
      </c>
      <c r="Z21" s="9">
        <f t="shared" si="10"/>
        <v>1052.0685330000001</v>
      </c>
      <c r="AA21" s="9">
        <f t="shared" si="11"/>
        <v>1051.046483</v>
      </c>
      <c r="AC21">
        <f t="shared" si="12"/>
        <v>6.23863900000009</v>
      </c>
      <c r="AD21">
        <f t="shared" si="13"/>
        <v>5.363491999999869</v>
      </c>
      <c r="AH21">
        <f t="shared" si="14"/>
        <v>-23.81709177000016</v>
      </c>
      <c r="AI21">
        <f t="shared" si="14"/>
        <v>-23.831490140000028</v>
      </c>
      <c r="AJ21">
        <f t="shared" si="15"/>
        <v>-35.64668579999977</v>
      </c>
      <c r="AK21">
        <f t="shared" si="15"/>
        <v>-35.49751979999985</v>
      </c>
      <c r="AM21">
        <v>945</v>
      </c>
      <c r="AN21">
        <v>-1029.3</v>
      </c>
      <c r="AO21">
        <v>81.2</v>
      </c>
      <c r="AP21">
        <v>-864.7</v>
      </c>
      <c r="AQ21">
        <v>-11.3</v>
      </c>
      <c r="AS21">
        <v>-945</v>
      </c>
      <c r="AT21">
        <v>-70.8</v>
      </c>
      <c r="AU21">
        <v>1013.7</v>
      </c>
      <c r="AV21">
        <v>90.1</v>
      </c>
      <c r="AW21">
        <v>923.2</v>
      </c>
      <c r="BA21" s="17">
        <v>-639.897</v>
      </c>
      <c r="BB21" s="17">
        <v>-639.363</v>
      </c>
      <c r="BC21" s="17">
        <v>976.395</v>
      </c>
      <c r="BD21" s="17">
        <v>975.476</v>
      </c>
      <c r="BF21">
        <v>315</v>
      </c>
      <c r="BG21" t="s">
        <v>55</v>
      </c>
      <c r="BH21" t="s">
        <v>54</v>
      </c>
      <c r="BI21">
        <v>1800</v>
      </c>
      <c r="BJ21" s="7">
        <f>(1800-BI21)*0.25</f>
        <v>0</v>
      </c>
      <c r="BK21">
        <v>1511</v>
      </c>
      <c r="BL21" s="7">
        <f>(1800-BK21)*0.24</f>
        <v>69.36</v>
      </c>
      <c r="BM21">
        <v>256</v>
      </c>
      <c r="BN21">
        <v>256</v>
      </c>
      <c r="BP21">
        <f t="shared" si="16"/>
        <v>-895.897</v>
      </c>
      <c r="BQ21">
        <f t="shared" si="16"/>
        <v>-895.363</v>
      </c>
      <c r="BS21">
        <f>BC21+BL21</f>
        <v>1045.7549999999999</v>
      </c>
      <c r="BT21">
        <f>BD21+BL21</f>
        <v>1044.836</v>
      </c>
      <c r="BV21" s="7">
        <f t="shared" si="17"/>
        <v>938.47261685152</v>
      </c>
      <c r="BW21" s="7">
        <f t="shared" si="17"/>
        <v>937.5572928515202</v>
      </c>
      <c r="BY21">
        <f>BP21-(945-AM21)</f>
        <v>-895.897</v>
      </c>
      <c r="BZ21">
        <f>BQ21-(945-AM21)</f>
        <v>-895.363</v>
      </c>
      <c r="CA21">
        <f>BV21-(945+AS21)</f>
        <v>938.47261685152</v>
      </c>
      <c r="CB21">
        <f>BW21-(945+AS21)</f>
        <v>937.5572928515202</v>
      </c>
      <c r="CD21" s="7">
        <f t="shared" si="18"/>
        <v>-32.24459422999985</v>
      </c>
      <c r="CE21" s="7">
        <f t="shared" si="18"/>
        <v>-32.35148185999992</v>
      </c>
      <c r="CF21" s="7">
        <f t="shared" si="19"/>
        <v>40.1266019484799</v>
      </c>
      <c r="CG21" s="7">
        <f t="shared" si="19"/>
        <v>39.87070994847977</v>
      </c>
      <c r="CI21" s="7">
        <f t="shared" si="20"/>
        <v>-56.07199600000001</v>
      </c>
      <c r="CJ21" s="7">
        <f t="shared" si="20"/>
        <v>-56.193281999999954</v>
      </c>
      <c r="CK21" s="7">
        <f t="shared" si="21"/>
        <v>-27.230304425479783</v>
      </c>
      <c r="CL21" s="7">
        <f t="shared" si="21"/>
        <v>-28.02814597547969</v>
      </c>
    </row>
    <row r="22" spans="1:90" ht="16.5">
      <c r="A22" s="10">
        <v>39195</v>
      </c>
      <c r="B22" s="7">
        <v>116.11396</v>
      </c>
      <c r="C22" s="7">
        <v>116.85125</v>
      </c>
      <c r="D22" s="7">
        <v>57.08488</v>
      </c>
      <c r="E22" s="7">
        <v>57.870097</v>
      </c>
      <c r="F22" s="7"/>
      <c r="G22" s="7">
        <v>1988.5853</v>
      </c>
      <c r="H22" s="7">
        <v>1987.5745</v>
      </c>
      <c r="I22">
        <v>97.593164</v>
      </c>
      <c r="J22">
        <v>96.525131</v>
      </c>
      <c r="L22">
        <f t="shared" si="2"/>
        <v>116.11396</v>
      </c>
      <c r="M22">
        <f t="shared" si="3"/>
        <v>116.85125</v>
      </c>
      <c r="N22">
        <f t="shared" si="4"/>
        <v>57.08488</v>
      </c>
      <c r="O22">
        <f t="shared" si="5"/>
        <v>57.870097</v>
      </c>
      <c r="Q22">
        <f t="shared" si="6"/>
        <v>1988.5853</v>
      </c>
      <c r="R22">
        <f t="shared" si="7"/>
        <v>1987.5745</v>
      </c>
      <c r="S22">
        <f t="shared" si="0"/>
        <v>97.593164</v>
      </c>
      <c r="T22">
        <f t="shared" si="1"/>
        <v>96.525131</v>
      </c>
      <c r="V22" s="7">
        <v>954.56779</v>
      </c>
      <c r="X22" s="2">
        <f t="shared" si="8"/>
        <v>-897.48291</v>
      </c>
      <c r="Y22" s="2">
        <f t="shared" si="9"/>
        <v>-896.697693</v>
      </c>
      <c r="Z22" s="9">
        <f t="shared" si="10"/>
        <v>1052.160954</v>
      </c>
      <c r="AA22" s="9">
        <f t="shared" si="11"/>
        <v>1051.092921</v>
      </c>
      <c r="AC22">
        <f aca="true" t="shared" si="22" ref="AC22:AC38">1.56-((X22+Y22)/2-(-891.276))</f>
        <v>7.374301499999943</v>
      </c>
      <c r="AD22">
        <f t="shared" si="13"/>
        <v>5.294062500000027</v>
      </c>
      <c r="AH22">
        <f t="shared" si="14"/>
        <v>-24.992902759999993</v>
      </c>
      <c r="AI22">
        <f t="shared" si="14"/>
        <v>-24.96783174999996</v>
      </c>
      <c r="AJ22">
        <f t="shared" si="15"/>
        <v>-35.4001303</v>
      </c>
      <c r="AK22">
        <f t="shared" si="15"/>
        <v>-35.426028499999916</v>
      </c>
      <c r="AM22">
        <v>945</v>
      </c>
      <c r="AN22">
        <v>-1029.2</v>
      </c>
      <c r="AO22">
        <v>81</v>
      </c>
      <c r="AP22">
        <v>-864.8</v>
      </c>
      <c r="AQ22">
        <v>-11.2</v>
      </c>
      <c r="AS22">
        <v>-945</v>
      </c>
      <c r="AT22">
        <v>-70.9</v>
      </c>
      <c r="AU22">
        <v>1013.8</v>
      </c>
      <c r="AV22">
        <v>90.3</v>
      </c>
      <c r="AW22">
        <v>923.1</v>
      </c>
      <c r="AY22" t="s">
        <v>95</v>
      </c>
      <c r="BA22" s="17">
        <v>-640.696</v>
      </c>
      <c r="BB22" s="17">
        <v>-639.911</v>
      </c>
      <c r="BC22" s="17">
        <v>975.352</v>
      </c>
      <c r="BD22" s="17">
        <v>974.89</v>
      </c>
      <c r="BF22">
        <v>303</v>
      </c>
      <c r="BG22" t="s">
        <v>55</v>
      </c>
      <c r="BH22" t="s">
        <v>54</v>
      </c>
      <c r="BI22">
        <v>1800</v>
      </c>
      <c r="BJ22" s="7">
        <f>(1800-BI22)*0.25</f>
        <v>0</v>
      </c>
      <c r="BK22">
        <v>1515</v>
      </c>
      <c r="BL22" s="7">
        <f>(1800-BK22)*0.24</f>
        <v>68.39999999999999</v>
      </c>
      <c r="BM22">
        <v>256</v>
      </c>
      <c r="BN22">
        <v>256</v>
      </c>
      <c r="BP22">
        <f t="shared" si="16"/>
        <v>-896.696</v>
      </c>
      <c r="BQ22">
        <f t="shared" si="16"/>
        <v>-895.911</v>
      </c>
      <c r="BS22">
        <f>BC22+BL22</f>
        <v>1043.752</v>
      </c>
      <c r="BT22">
        <f>BD22+BL22</f>
        <v>1043.29</v>
      </c>
      <c r="BV22" s="7">
        <f t="shared" si="17"/>
        <v>936.4776288515201</v>
      </c>
      <c r="BW22" s="7">
        <f t="shared" si="17"/>
        <v>936.0174768515201</v>
      </c>
      <c r="BY22">
        <f>BP22-(945-AM22)</f>
        <v>-896.696</v>
      </c>
      <c r="BZ22">
        <f>BQ22-(945-AM22)</f>
        <v>-895.911</v>
      </c>
      <c r="CA22">
        <f>BV22-(945+AS22)</f>
        <v>936.4776288515201</v>
      </c>
      <c r="CB22">
        <f>BW22-(945+AS22)</f>
        <v>936.0174768515201</v>
      </c>
      <c r="CD22" s="7">
        <f t="shared" si="18"/>
        <v>-31.591697239999917</v>
      </c>
      <c r="CE22" s="7">
        <f t="shared" si="18"/>
        <v>-31.616551250000043</v>
      </c>
      <c r="CF22" s="7">
        <f t="shared" si="19"/>
        <v>41.96745544847988</v>
      </c>
      <c r="CG22" s="7">
        <f t="shared" si="19"/>
        <v>41.38547264847978</v>
      </c>
      <c r="CI22" s="7">
        <f t="shared" si="20"/>
        <v>-56.59490999999991</v>
      </c>
      <c r="CJ22" s="7">
        <f t="shared" si="20"/>
        <v>-56.59469300000001</v>
      </c>
      <c r="CK22" s="7">
        <f t="shared" si="21"/>
        <v>-28.97587187447994</v>
      </c>
      <c r="CL22" s="7">
        <f t="shared" si="21"/>
        <v>-29.495031097479846</v>
      </c>
    </row>
    <row r="23" spans="1:75" ht="16.5">
      <c r="A23" s="1">
        <v>39212</v>
      </c>
      <c r="B23">
        <v>105.5353</v>
      </c>
      <c r="C23" s="7">
        <v>112.67775</v>
      </c>
      <c r="D23" s="7">
        <v>42.872042</v>
      </c>
      <c r="E23" s="7">
        <v>50.128859</v>
      </c>
      <c r="F23" s="7"/>
      <c r="G23" s="7">
        <v>1992.1836</v>
      </c>
      <c r="H23" s="7">
        <v>1986.195</v>
      </c>
      <c r="I23">
        <v>105.57077</v>
      </c>
      <c r="J23">
        <v>99.590262</v>
      </c>
      <c r="L23">
        <f t="shared" si="2"/>
        <v>105.5353</v>
      </c>
      <c r="M23">
        <f t="shared" si="3"/>
        <v>112.67775</v>
      </c>
      <c r="N23">
        <f t="shared" si="4"/>
        <v>42.872042</v>
      </c>
      <c r="O23">
        <f t="shared" si="5"/>
        <v>50.128859</v>
      </c>
      <c r="Q23">
        <f t="shared" si="6"/>
        <v>1992.1836</v>
      </c>
      <c r="R23">
        <f t="shared" si="7"/>
        <v>1986.195</v>
      </c>
      <c r="S23">
        <f t="shared" si="0"/>
        <v>105.57077</v>
      </c>
      <c r="T23">
        <f t="shared" si="1"/>
        <v>99.590262</v>
      </c>
      <c r="V23" s="7">
        <v>950.49</v>
      </c>
      <c r="X23" s="2">
        <f t="shared" si="8"/>
        <v>-907.617958</v>
      </c>
      <c r="Y23" s="2">
        <f t="shared" si="9"/>
        <v>-900.361141</v>
      </c>
      <c r="Z23" s="9">
        <f t="shared" si="10"/>
        <v>1056.06077</v>
      </c>
      <c r="AA23" s="9">
        <f t="shared" si="11"/>
        <v>1050.080262</v>
      </c>
      <c r="AC23">
        <f t="shared" si="22"/>
        <v>14.273549500000113</v>
      </c>
      <c r="AD23">
        <f aca="true" t="shared" si="23" ref="AD23:AD38">11.16-((Z23+AA23)/2-1045.761)</f>
        <v>3.8504839999999696</v>
      </c>
      <c r="AE23" t="s">
        <v>75</v>
      </c>
      <c r="AH23">
        <f t="shared" si="14"/>
        <v>-24.22135230000015</v>
      </c>
      <c r="AI23">
        <f t="shared" si="14"/>
        <v>-24.32840125000007</v>
      </c>
      <c r="AJ23">
        <f t="shared" si="15"/>
        <v>-35.21016159999999</v>
      </c>
      <c r="AK23">
        <f t="shared" si="15"/>
        <v>-35.01642299999992</v>
      </c>
      <c r="AM23" s="21">
        <v>930</v>
      </c>
      <c r="AN23">
        <f>-1010.7-15</f>
        <v>-1025.7</v>
      </c>
      <c r="AO23">
        <v>78.3</v>
      </c>
      <c r="AP23">
        <f>-852.7-15</f>
        <v>-867.7</v>
      </c>
      <c r="AQ23">
        <v>-9.2</v>
      </c>
      <c r="AS23" s="21">
        <v>-930</v>
      </c>
      <c r="AT23">
        <v>-67.3</v>
      </c>
      <c r="AU23">
        <f>995.8+15</f>
        <v>1010.8</v>
      </c>
      <c r="AV23">
        <v>86.8</v>
      </c>
      <c r="AW23">
        <f>910.4+15</f>
        <v>925.4</v>
      </c>
      <c r="AY23" t="s">
        <v>76</v>
      </c>
      <c r="BV23" s="7"/>
      <c r="BW23" s="7"/>
    </row>
    <row r="24" spans="1:75" ht="16.5">
      <c r="A24" s="1">
        <v>39216</v>
      </c>
      <c r="B24" t="s">
        <v>77</v>
      </c>
      <c r="C24" t="s">
        <v>77</v>
      </c>
      <c r="D24">
        <v>34.957911</v>
      </c>
      <c r="E24">
        <v>46.16899</v>
      </c>
      <c r="G24" t="s">
        <v>77</v>
      </c>
      <c r="H24" t="s">
        <v>77</v>
      </c>
      <c r="I24">
        <v>109.74319</v>
      </c>
      <c r="J24">
        <v>100.32452</v>
      </c>
      <c r="L24" t="str">
        <f>B24</f>
        <v>No</v>
      </c>
      <c r="M24" t="str">
        <f>C24</f>
        <v>No</v>
      </c>
      <c r="N24">
        <f t="shared" si="4"/>
        <v>34.957911</v>
      </c>
      <c r="O24">
        <f t="shared" si="5"/>
        <v>46.16899</v>
      </c>
      <c r="Q24" t="str">
        <f>G24</f>
        <v>No</v>
      </c>
      <c r="R24" t="str">
        <f>H24</f>
        <v>No</v>
      </c>
      <c r="S24">
        <f t="shared" si="0"/>
        <v>109.74319</v>
      </c>
      <c r="T24">
        <f t="shared" si="1"/>
        <v>100.32452</v>
      </c>
      <c r="V24" s="7">
        <v>949.63709</v>
      </c>
      <c r="X24" s="2">
        <f t="shared" si="8"/>
        <v>-914.679179</v>
      </c>
      <c r="Y24" s="2">
        <f t="shared" si="9"/>
        <v>-903.4680999999999</v>
      </c>
      <c r="Z24" s="9">
        <f t="shared" si="10"/>
        <v>1059.3802799999999</v>
      </c>
      <c r="AA24" s="9">
        <f t="shared" si="11"/>
        <v>1049.9616099999998</v>
      </c>
      <c r="AC24">
        <f t="shared" si="22"/>
        <v>19.357639499999944</v>
      </c>
      <c r="AD24">
        <f t="shared" si="23"/>
        <v>2.2500550000001205</v>
      </c>
      <c r="AM24" s="21">
        <v>930</v>
      </c>
      <c r="AN24">
        <f>-1008.8-15</f>
        <v>-1023.8</v>
      </c>
      <c r="AO24">
        <v>76.7</v>
      </c>
      <c r="AP24">
        <f>-854.5-15</f>
        <v>-869.5</v>
      </c>
      <c r="AQ24">
        <v>-7.3</v>
      </c>
      <c r="AS24" s="21">
        <v>-930</v>
      </c>
      <c r="AT24">
        <v>-65.8</v>
      </c>
      <c r="AU24">
        <f>994.5+15</f>
        <v>1009.5</v>
      </c>
      <c r="AV24">
        <v>85.2</v>
      </c>
      <c r="AW24">
        <f>912+15</f>
        <v>927</v>
      </c>
      <c r="AY24" t="s">
        <v>76</v>
      </c>
      <c r="BV24" s="7"/>
      <c r="BW24" s="7"/>
    </row>
    <row r="25" spans="1:75" ht="16.5">
      <c r="A25" s="1">
        <v>39218</v>
      </c>
      <c r="B25">
        <v>96.06211</v>
      </c>
      <c r="C25">
        <v>107.81934</v>
      </c>
      <c r="D25">
        <v>33.201717</v>
      </c>
      <c r="E25">
        <v>45.061728</v>
      </c>
      <c r="G25">
        <v>1995.4345</v>
      </c>
      <c r="H25">
        <v>1985.7337</v>
      </c>
      <c r="I25">
        <v>111.07134</v>
      </c>
      <c r="J25">
        <v>100.90462</v>
      </c>
      <c r="L25">
        <f t="shared" si="2"/>
        <v>96.06211</v>
      </c>
      <c r="M25">
        <f t="shared" si="3"/>
        <v>107.81934</v>
      </c>
      <c r="N25">
        <f t="shared" si="4"/>
        <v>33.201717</v>
      </c>
      <c r="O25">
        <f t="shared" si="5"/>
        <v>45.061728</v>
      </c>
      <c r="Q25">
        <f t="shared" si="6"/>
        <v>1995.4345</v>
      </c>
      <c r="R25">
        <f t="shared" si="7"/>
        <v>1985.7337</v>
      </c>
      <c r="S25">
        <f t="shared" si="0"/>
        <v>111.07134</v>
      </c>
      <c r="T25">
        <f t="shared" si="1"/>
        <v>100.90462</v>
      </c>
      <c r="V25" s="7">
        <v>949.22802</v>
      </c>
      <c r="X25" s="2">
        <f t="shared" si="8"/>
        <v>-916.026303</v>
      </c>
      <c r="Y25" s="2">
        <f t="shared" si="9"/>
        <v>-904.166292</v>
      </c>
      <c r="Z25" s="9">
        <f t="shared" si="10"/>
        <v>1060.29936</v>
      </c>
      <c r="AA25" s="9">
        <f t="shared" si="11"/>
        <v>1050.13264</v>
      </c>
      <c r="AC25">
        <f t="shared" si="22"/>
        <v>20.380297500000037</v>
      </c>
      <c r="AD25">
        <f t="shared" si="23"/>
        <v>1.705000000000073</v>
      </c>
      <c r="AH25">
        <f aca="true" t="shared" si="24" ref="AH25:AH35">(X25-1024*0.0545)-(L25-1024+7.5)*1.031</f>
        <v>-22.862838409999995</v>
      </c>
      <c r="AI25">
        <f aca="true" t="shared" si="25" ref="AI25:AI35">(Y25-1024*0.0545)-(M25-1024+7.5)*1.031</f>
        <v>-23.124531540000135</v>
      </c>
      <c r="AJ25">
        <f aca="true" t="shared" si="26" ref="AJ25:AJ36">(Z25-2048*0.0545)-(Q25-1024-15.56)*1.031+2.5</f>
        <v>-34.32324950000009</v>
      </c>
      <c r="AK25">
        <f aca="true" t="shared" si="27" ref="AK25:AK36">(AA25-2048*0.0545)-(R25-1024-15.56)*1.031+2.5</f>
        <v>-34.488444699999945</v>
      </c>
      <c r="AM25" s="21">
        <v>930</v>
      </c>
      <c r="AN25">
        <f>-1008.2-15</f>
        <v>-1023.2</v>
      </c>
      <c r="AO25">
        <v>76.3</v>
      </c>
      <c r="AP25">
        <f>-855-15</f>
        <v>-870</v>
      </c>
      <c r="AQ25">
        <v>-6.7</v>
      </c>
      <c r="AS25" s="21">
        <v>-930</v>
      </c>
      <c r="AT25">
        <v>-65</v>
      </c>
      <c r="AU25">
        <f>993.8+15</f>
        <v>1008.8</v>
      </c>
      <c r="AV25">
        <v>84.7</v>
      </c>
      <c r="AW25">
        <f>912.5+15</f>
        <v>927.5</v>
      </c>
      <c r="AY25" t="s">
        <v>76</v>
      </c>
      <c r="BV25" s="7"/>
      <c r="BW25" s="7"/>
    </row>
    <row r="26" spans="1:75" ht="16.5">
      <c r="A26" s="1">
        <v>39223</v>
      </c>
      <c r="B26">
        <v>91.353337</v>
      </c>
      <c r="C26">
        <v>104.85658</v>
      </c>
      <c r="D26">
        <v>26.612206</v>
      </c>
      <c r="E26">
        <v>40.308768</v>
      </c>
      <c r="G26">
        <v>1997.67</v>
      </c>
      <c r="H26">
        <v>1985.7017</v>
      </c>
      <c r="I26">
        <v>114.64179</v>
      </c>
      <c r="J26">
        <v>102.38548</v>
      </c>
      <c r="L26">
        <f t="shared" si="2"/>
        <v>91.353337</v>
      </c>
      <c r="M26">
        <f t="shared" si="3"/>
        <v>104.85658</v>
      </c>
      <c r="N26">
        <f t="shared" si="4"/>
        <v>26.612206</v>
      </c>
      <c r="O26">
        <f t="shared" si="5"/>
        <v>40.308768</v>
      </c>
      <c r="Q26">
        <f t="shared" si="6"/>
        <v>1997.67</v>
      </c>
      <c r="R26">
        <f t="shared" si="7"/>
        <v>1985.7017</v>
      </c>
      <c r="S26">
        <f t="shared" si="0"/>
        <v>114.64179</v>
      </c>
      <c r="T26">
        <f t="shared" si="1"/>
        <v>102.38548</v>
      </c>
      <c r="V26" s="7">
        <v>948.26061</v>
      </c>
      <c r="X26" s="2">
        <f t="shared" si="8"/>
        <v>-921.648404</v>
      </c>
      <c r="Y26" s="2">
        <f t="shared" si="9"/>
        <v>-907.951842</v>
      </c>
      <c r="Z26" s="9">
        <f t="shared" si="10"/>
        <v>1062.9024</v>
      </c>
      <c r="AA26" s="9">
        <f t="shared" si="11"/>
        <v>1050.64609</v>
      </c>
      <c r="AC26">
        <f t="shared" si="22"/>
        <v>25.08412300000003</v>
      </c>
      <c r="AD26">
        <f t="shared" si="23"/>
        <v>0.14675499999990294</v>
      </c>
      <c r="AH26">
        <f t="shared" si="24"/>
        <v>-23.63019444700012</v>
      </c>
      <c r="AI26">
        <f t="shared" si="25"/>
        <v>-23.855475980000165</v>
      </c>
      <c r="AJ26">
        <f t="shared" si="26"/>
        <v>-34.025010000000066</v>
      </c>
      <c r="AK26">
        <f t="shared" si="27"/>
        <v>-33.9420027000001</v>
      </c>
      <c r="AM26" s="21">
        <v>930</v>
      </c>
      <c r="AN26">
        <f>-1007.3-15</f>
        <v>-1022.3</v>
      </c>
      <c r="AO26">
        <v>75.2</v>
      </c>
      <c r="AP26">
        <f>-855.9-15</f>
        <v>-870.9</v>
      </c>
      <c r="AQ26">
        <v>-5.6</v>
      </c>
      <c r="AS26" s="21">
        <v>-930</v>
      </c>
      <c r="AT26">
        <v>-64.3</v>
      </c>
      <c r="AU26">
        <f>992.9+15</f>
        <v>1007.9</v>
      </c>
      <c r="AV26">
        <v>83.8</v>
      </c>
      <c r="AW26">
        <f>913.7+15</f>
        <v>928.7</v>
      </c>
      <c r="AY26" t="s">
        <v>76</v>
      </c>
      <c r="BV26" s="7"/>
      <c r="BW26" s="7"/>
    </row>
    <row r="27" spans="1:75" ht="16.5">
      <c r="A27" s="1">
        <v>39227</v>
      </c>
      <c r="B27">
        <v>88.767478</v>
      </c>
      <c r="C27">
        <v>103.39032</v>
      </c>
      <c r="D27">
        <v>23.009101</v>
      </c>
      <c r="E27">
        <v>37.867343</v>
      </c>
      <c r="G27">
        <v>1998.5962</v>
      </c>
      <c r="H27">
        <v>1985.5419</v>
      </c>
      <c r="I27">
        <v>116.52498</v>
      </c>
      <c r="J27">
        <v>103.0574</v>
      </c>
      <c r="L27">
        <f t="shared" si="2"/>
        <v>88.767478</v>
      </c>
      <c r="M27">
        <f t="shared" si="3"/>
        <v>103.39032</v>
      </c>
      <c r="N27">
        <f t="shared" si="4"/>
        <v>23.009101</v>
      </c>
      <c r="O27">
        <f t="shared" si="5"/>
        <v>37.867343</v>
      </c>
      <c r="Q27">
        <f t="shared" si="6"/>
        <v>1998.5962</v>
      </c>
      <c r="R27">
        <f t="shared" si="7"/>
        <v>1985.5419</v>
      </c>
      <c r="S27">
        <f t="shared" si="0"/>
        <v>116.52498</v>
      </c>
      <c r="T27">
        <f t="shared" si="1"/>
        <v>103.0574</v>
      </c>
      <c r="V27" s="7">
        <v>947.54675</v>
      </c>
      <c r="X27" s="2">
        <f t="shared" si="8"/>
        <v>-924.537649</v>
      </c>
      <c r="Y27" s="2">
        <f t="shared" si="9"/>
        <v>-909.679407</v>
      </c>
      <c r="Z27" s="9">
        <f t="shared" si="10"/>
        <v>1064.07173</v>
      </c>
      <c r="AA27" s="9">
        <f t="shared" si="11"/>
        <v>1050.60415</v>
      </c>
      <c r="AC27">
        <f t="shared" si="22"/>
        <v>27.392528000000024</v>
      </c>
      <c r="AD27">
        <f t="shared" si="23"/>
        <v>-0.41693999999992215</v>
      </c>
      <c r="AH27">
        <f t="shared" si="24"/>
        <v>-23.853418818000023</v>
      </c>
      <c r="AI27">
        <f t="shared" si="25"/>
        <v>-24.071326920000047</v>
      </c>
      <c r="AJ27">
        <f t="shared" si="26"/>
        <v>-33.810592199999974</v>
      </c>
      <c r="AK27">
        <f t="shared" si="27"/>
        <v>-33.81918889999997</v>
      </c>
      <c r="AM27" s="21">
        <v>930</v>
      </c>
      <c r="AN27">
        <f>-1006.8-15</f>
        <v>-1021.8</v>
      </c>
      <c r="AO27">
        <v>74.8</v>
      </c>
      <c r="AP27">
        <f>-856.5-15</f>
        <v>-871.5</v>
      </c>
      <c r="AQ27">
        <v>-5.2</v>
      </c>
      <c r="AS27" s="21">
        <v>-930</v>
      </c>
      <c r="AT27">
        <v>-63.8</v>
      </c>
      <c r="AU27">
        <f>992.3+15</f>
        <v>1007.3</v>
      </c>
      <c r="AV27">
        <v>82.8</v>
      </c>
      <c r="AW27">
        <f>914+15</f>
        <v>929</v>
      </c>
      <c r="AY27" t="s">
        <v>76</v>
      </c>
      <c r="BV27" s="7"/>
      <c r="BW27" s="7"/>
    </row>
    <row r="28" spans="1:75" ht="16.5">
      <c r="A28" s="1">
        <v>39232</v>
      </c>
      <c r="B28">
        <v>86.570633</v>
      </c>
      <c r="C28">
        <v>101.80936</v>
      </c>
      <c r="D28">
        <v>19.605806</v>
      </c>
      <c r="E28">
        <v>35.935551</v>
      </c>
      <c r="G28">
        <v>1999.4174</v>
      </c>
      <c r="H28">
        <v>1985.5799</v>
      </c>
      <c r="I28">
        <v>117.89934</v>
      </c>
      <c r="J28">
        <v>103.60463</v>
      </c>
      <c r="L28">
        <f t="shared" si="2"/>
        <v>86.570633</v>
      </c>
      <c r="M28">
        <f t="shared" si="3"/>
        <v>101.80936</v>
      </c>
      <c r="N28">
        <f t="shared" si="4"/>
        <v>19.605806</v>
      </c>
      <c r="O28">
        <f t="shared" si="5"/>
        <v>35.935551</v>
      </c>
      <c r="Q28">
        <f t="shared" si="6"/>
        <v>1999.4174</v>
      </c>
      <c r="R28">
        <f t="shared" si="7"/>
        <v>1985.5799</v>
      </c>
      <c r="S28">
        <f t="shared" si="0"/>
        <v>117.89934</v>
      </c>
      <c r="T28">
        <f t="shared" si="1"/>
        <v>103.60463</v>
      </c>
      <c r="V28" s="7">
        <v>946.73426</v>
      </c>
      <c r="X28" s="2">
        <f t="shared" si="8"/>
        <v>-927.1284539999999</v>
      </c>
      <c r="Y28" s="2">
        <f t="shared" si="9"/>
        <v>-910.7987089999999</v>
      </c>
      <c r="Z28" s="9">
        <f t="shared" si="10"/>
        <v>1064.6336</v>
      </c>
      <c r="AA28" s="9">
        <f t="shared" si="11"/>
        <v>1050.33889</v>
      </c>
      <c r="AC28">
        <f t="shared" si="22"/>
        <v>29.247581499999963</v>
      </c>
      <c r="AD28">
        <f t="shared" si="23"/>
        <v>-0.5652450000000862</v>
      </c>
      <c r="AH28">
        <f t="shared" si="24"/>
        <v>-24.179276623000078</v>
      </c>
      <c r="AI28">
        <f t="shared" si="25"/>
        <v>-23.56065916</v>
      </c>
      <c r="AJ28">
        <f t="shared" si="26"/>
        <v>-34.09537940000007</v>
      </c>
      <c r="AK28">
        <f t="shared" si="27"/>
        <v>-34.12362689999998</v>
      </c>
      <c r="AM28" s="21">
        <v>930</v>
      </c>
      <c r="AN28">
        <f>-1006.3-15</f>
        <v>-1021.3</v>
      </c>
      <c r="AO28">
        <v>74.4</v>
      </c>
      <c r="AP28">
        <f>-857-15</f>
        <v>-872</v>
      </c>
      <c r="AQ28">
        <v>-4.8</v>
      </c>
      <c r="AS28" s="21">
        <v>-930</v>
      </c>
      <c r="AT28">
        <v>-63.4</v>
      </c>
      <c r="AU28">
        <f>991.7+15</f>
        <v>1006.7</v>
      </c>
      <c r="AV28">
        <v>82.7</v>
      </c>
      <c r="AW28">
        <f>914.4+15</f>
        <v>929.4</v>
      </c>
      <c r="AY28" t="s">
        <v>76</v>
      </c>
      <c r="BV28" s="7"/>
      <c r="BW28" s="7"/>
    </row>
    <row r="29" spans="1:75" ht="16.5">
      <c r="A29" s="1">
        <v>39236</v>
      </c>
      <c r="B29">
        <v>85.599931</v>
      </c>
      <c r="C29">
        <v>101.45502</v>
      </c>
      <c r="D29">
        <v>16.469752</v>
      </c>
      <c r="E29">
        <v>32.749354</v>
      </c>
      <c r="G29">
        <v>1999.8057</v>
      </c>
      <c r="H29">
        <v>1985.3388</v>
      </c>
      <c r="I29">
        <v>118.6013</v>
      </c>
      <c r="J29">
        <v>103.71716</v>
      </c>
      <c r="L29">
        <f t="shared" si="2"/>
        <v>85.599931</v>
      </c>
      <c r="M29">
        <f t="shared" si="3"/>
        <v>101.45502</v>
      </c>
      <c r="N29">
        <f t="shared" si="4"/>
        <v>16.469752</v>
      </c>
      <c r="O29">
        <f t="shared" si="5"/>
        <v>32.749354</v>
      </c>
      <c r="Q29">
        <f t="shared" si="6"/>
        <v>1999.8057</v>
      </c>
      <c r="R29">
        <f t="shared" si="7"/>
        <v>1985.3388</v>
      </c>
      <c r="S29">
        <f t="shared" si="0"/>
        <v>118.6013</v>
      </c>
      <c r="T29">
        <f t="shared" si="1"/>
        <v>103.71716</v>
      </c>
      <c r="V29" s="7">
        <v>946.2913</v>
      </c>
      <c r="X29" s="2">
        <f t="shared" si="8"/>
        <v>-929.821548</v>
      </c>
      <c r="Y29" s="2">
        <f t="shared" si="9"/>
        <v>-913.5419459999999</v>
      </c>
      <c r="Z29" s="9">
        <f t="shared" si="10"/>
        <v>1064.8926</v>
      </c>
      <c r="AA29" s="9">
        <f t="shared" si="11"/>
        <v>1050.00846</v>
      </c>
      <c r="AC29">
        <f t="shared" si="22"/>
        <v>31.965747000000018</v>
      </c>
      <c r="AD29">
        <f t="shared" si="23"/>
        <v>-0.5295300000001042</v>
      </c>
      <c r="AH29">
        <f t="shared" si="24"/>
        <v>-25.871576860999994</v>
      </c>
      <c r="AI29">
        <f t="shared" si="25"/>
        <v>-25.938571619999948</v>
      </c>
      <c r="AJ29">
        <f t="shared" si="26"/>
        <v>-34.23671669999999</v>
      </c>
      <c r="AK29">
        <f t="shared" si="27"/>
        <v>-34.20548279999991</v>
      </c>
      <c r="AM29" s="21">
        <v>930</v>
      </c>
      <c r="AN29">
        <f>-1005.2-15</f>
        <v>-1020.2</v>
      </c>
      <c r="AO29">
        <v>73.8</v>
      </c>
      <c r="AP29">
        <f>-857.2-15</f>
        <v>-872.2</v>
      </c>
      <c r="AQ29">
        <v>-4.6</v>
      </c>
      <c r="AS29" s="21">
        <v>-930</v>
      </c>
      <c r="AT29">
        <v>-62.8</v>
      </c>
      <c r="AU29">
        <f>991.3+15</f>
        <v>1006.3</v>
      </c>
      <c r="AV29">
        <v>82.4</v>
      </c>
      <c r="AW29">
        <f>914.7+15</f>
        <v>929.7</v>
      </c>
      <c r="AY29" t="s">
        <v>76</v>
      </c>
      <c r="BV29" s="7"/>
      <c r="BW29" s="7"/>
    </row>
    <row r="30" spans="1:75" ht="16.5">
      <c r="A30" s="1">
        <v>39248</v>
      </c>
      <c r="B30">
        <v>83.123649</v>
      </c>
      <c r="C30">
        <v>99.873767</v>
      </c>
      <c r="D30">
        <v>14.066075</v>
      </c>
      <c r="E30">
        <v>31.392533</v>
      </c>
      <c r="G30">
        <v>2000.9848</v>
      </c>
      <c r="H30">
        <v>1985.4832</v>
      </c>
      <c r="I30">
        <v>121.71502</v>
      </c>
      <c r="J30">
        <v>105.7221</v>
      </c>
      <c r="L30">
        <f t="shared" si="2"/>
        <v>83.123649</v>
      </c>
      <c r="M30">
        <f t="shared" si="3"/>
        <v>99.873767</v>
      </c>
      <c r="N30">
        <f t="shared" si="4"/>
        <v>14.066075</v>
      </c>
      <c r="O30">
        <f t="shared" si="5"/>
        <v>31.392533</v>
      </c>
      <c r="Q30">
        <f t="shared" si="6"/>
        <v>2000.9848</v>
      </c>
      <c r="R30">
        <f t="shared" si="7"/>
        <v>1985.4832</v>
      </c>
      <c r="S30">
        <f t="shared" si="0"/>
        <v>121.71502</v>
      </c>
      <c r="T30">
        <f t="shared" si="1"/>
        <v>105.7221</v>
      </c>
      <c r="V30" s="7">
        <v>944.783</v>
      </c>
      <c r="X30" s="2">
        <f t="shared" si="8"/>
        <v>-930.7169250000001</v>
      </c>
      <c r="Y30" s="2">
        <f t="shared" si="9"/>
        <v>-913.3904670000001</v>
      </c>
      <c r="Z30" s="9">
        <f t="shared" si="10"/>
        <v>1066.49802</v>
      </c>
      <c r="AA30" s="9">
        <f t="shared" si="11"/>
        <v>1050.5051</v>
      </c>
      <c r="AC30">
        <f t="shared" si="22"/>
        <v>32.33769600000011</v>
      </c>
      <c r="AD30">
        <f t="shared" si="23"/>
        <v>-1.5805600000001867</v>
      </c>
      <c r="AH30">
        <f t="shared" si="24"/>
        <v>-24.21390711900017</v>
      </c>
      <c r="AI30">
        <f t="shared" si="25"/>
        <v>-24.15682077700012</v>
      </c>
      <c r="AJ30">
        <f t="shared" si="26"/>
        <v>-33.84694879999995</v>
      </c>
      <c r="AK30">
        <f t="shared" si="27"/>
        <v>-33.85771919999979</v>
      </c>
      <c r="AM30" s="21">
        <v>930</v>
      </c>
      <c r="AN30">
        <f>-1005.8-15</f>
        <v>-1020.8</v>
      </c>
      <c r="AO30">
        <v>73.5</v>
      </c>
      <c r="AP30">
        <f>-857.7-15</f>
        <v>-872.7</v>
      </c>
      <c r="AQ30">
        <v>-4.2</v>
      </c>
      <c r="AS30" s="21">
        <v>-930</v>
      </c>
      <c r="AT30">
        <v>-62.3</v>
      </c>
      <c r="AU30">
        <f>991+15</f>
        <v>1006</v>
      </c>
      <c r="AV30">
        <v>82</v>
      </c>
      <c r="AW30">
        <f>915.3+15</f>
        <v>930.3</v>
      </c>
      <c r="AY30" t="s">
        <v>76</v>
      </c>
      <c r="BV30" s="7"/>
      <c r="BW30" s="7"/>
    </row>
    <row r="31" spans="1:75" ht="16.5">
      <c r="A31" s="1">
        <v>39254</v>
      </c>
      <c r="B31">
        <v>84.819717</v>
      </c>
      <c r="C31">
        <v>101.03054</v>
      </c>
      <c r="D31">
        <v>14.140343</v>
      </c>
      <c r="E31">
        <v>30.765135</v>
      </c>
      <c r="G31">
        <v>2000.9322</v>
      </c>
      <c r="H31">
        <v>1985.7497</v>
      </c>
      <c r="I31">
        <v>121.87681</v>
      </c>
      <c r="J31">
        <v>106.13528</v>
      </c>
      <c r="L31">
        <f t="shared" si="2"/>
        <v>84.819717</v>
      </c>
      <c r="M31">
        <f t="shared" si="3"/>
        <v>101.03054</v>
      </c>
      <c r="N31">
        <f t="shared" si="4"/>
        <v>14.140343</v>
      </c>
      <c r="O31">
        <f t="shared" si="5"/>
        <v>30.765135</v>
      </c>
      <c r="Q31">
        <f t="shared" si="6"/>
        <v>2000.9322</v>
      </c>
      <c r="R31">
        <f t="shared" si="7"/>
        <v>1985.7497</v>
      </c>
      <c r="S31">
        <f t="shared" si="0"/>
        <v>121.87681</v>
      </c>
      <c r="T31">
        <f t="shared" si="1"/>
        <v>106.13528</v>
      </c>
      <c r="V31" s="7">
        <v>944.32378</v>
      </c>
      <c r="X31" s="2">
        <f t="shared" si="8"/>
        <v>-930.183437</v>
      </c>
      <c r="Y31" s="2">
        <f t="shared" si="9"/>
        <v>-913.5586450000001</v>
      </c>
      <c r="Z31" s="9">
        <f t="shared" si="10"/>
        <v>1066.2005900000001</v>
      </c>
      <c r="AA31" s="9">
        <f t="shared" si="11"/>
        <v>1050.4590600000001</v>
      </c>
      <c r="AC31">
        <f t="shared" si="22"/>
        <v>32.15504100000015</v>
      </c>
      <c r="AD31">
        <f t="shared" si="23"/>
        <v>-1.408825000000288</v>
      </c>
      <c r="AH31">
        <f t="shared" si="24"/>
        <v>-25.429065227000024</v>
      </c>
      <c r="AI31">
        <f t="shared" si="25"/>
        <v>-25.51763174000007</v>
      </c>
      <c r="AJ31">
        <f t="shared" si="26"/>
        <v>-34.09014819999982</v>
      </c>
      <c r="AK31">
        <f t="shared" si="27"/>
        <v>-34.17852069999992</v>
      </c>
      <c r="AM31" s="21">
        <v>930</v>
      </c>
      <c r="AN31">
        <f>-1005.8-15</f>
        <v>-1020.8</v>
      </c>
      <c r="AO31">
        <v>73.8</v>
      </c>
      <c r="AP31">
        <f>-857.5-15</f>
        <v>-872.5</v>
      </c>
      <c r="AQ31">
        <v>-4.2</v>
      </c>
      <c r="AS31" s="21">
        <v>-930</v>
      </c>
      <c r="AT31">
        <v>-62.6</v>
      </c>
      <c r="AU31">
        <f>991.3+15</f>
        <v>1006.3</v>
      </c>
      <c r="AV31">
        <v>82.3</v>
      </c>
      <c r="AW31">
        <f>915.2+15</f>
        <v>930.2</v>
      </c>
      <c r="AY31" t="s">
        <v>76</v>
      </c>
      <c r="BV31" s="7"/>
      <c r="BW31" s="7"/>
    </row>
    <row r="32" spans="1:75" ht="16.5">
      <c r="A32" s="1">
        <v>39263</v>
      </c>
      <c r="B32">
        <v>85.612409</v>
      </c>
      <c r="C32">
        <v>101.15747</v>
      </c>
      <c r="D32">
        <v>14.892873</v>
      </c>
      <c r="E32">
        <v>30.738291</v>
      </c>
      <c r="G32">
        <v>2000.3407</v>
      </c>
      <c r="H32">
        <v>1985.6808</v>
      </c>
      <c r="I32">
        <v>121.71374</v>
      </c>
      <c r="J32">
        <v>106.63062</v>
      </c>
      <c r="L32">
        <f t="shared" si="2"/>
        <v>85.612409</v>
      </c>
      <c r="M32">
        <f t="shared" si="3"/>
        <v>101.15747</v>
      </c>
      <c r="N32">
        <f t="shared" si="4"/>
        <v>14.892873</v>
      </c>
      <c r="O32">
        <f t="shared" si="5"/>
        <v>30.738291</v>
      </c>
      <c r="Q32">
        <f t="shared" si="6"/>
        <v>2000.3407</v>
      </c>
      <c r="R32">
        <f t="shared" si="7"/>
        <v>1985.6808</v>
      </c>
      <c r="S32">
        <f t="shared" si="0"/>
        <v>121.71374</v>
      </c>
      <c r="T32">
        <f t="shared" si="1"/>
        <v>106.63062</v>
      </c>
      <c r="V32" s="7">
        <v>943.92778</v>
      </c>
      <c r="X32" s="2">
        <f t="shared" si="8"/>
        <v>-929.034907</v>
      </c>
      <c r="Y32" s="2">
        <f t="shared" si="9"/>
        <v>-913.189489</v>
      </c>
      <c r="Z32" s="9">
        <f t="shared" si="10"/>
        <v>1065.64152</v>
      </c>
      <c r="AA32" s="9">
        <f t="shared" si="11"/>
        <v>1050.5584</v>
      </c>
      <c r="AC32">
        <f t="shared" si="22"/>
        <v>31.39619800000008</v>
      </c>
      <c r="AD32">
        <f t="shared" si="23"/>
        <v>-1.1789600000000426</v>
      </c>
      <c r="AH32">
        <f t="shared" si="24"/>
        <v>-25.097800678999988</v>
      </c>
      <c r="AI32">
        <f t="shared" si="25"/>
        <v>-25.279340570000045</v>
      </c>
      <c r="AJ32">
        <f t="shared" si="26"/>
        <v>-34.039381700000035</v>
      </c>
      <c r="AK32">
        <f t="shared" si="27"/>
        <v>-34.008144800000196</v>
      </c>
      <c r="AM32" s="21">
        <v>930</v>
      </c>
      <c r="AN32">
        <f>-1006.2-15</f>
        <v>-1021.2</v>
      </c>
      <c r="AO32">
        <v>73.7</v>
      </c>
      <c r="AP32">
        <f>-856.8-15</f>
        <v>-871.8</v>
      </c>
      <c r="AQ32">
        <v>-4.6</v>
      </c>
      <c r="AS32" s="21">
        <v>-930</v>
      </c>
      <c r="AT32">
        <v>-62.8</v>
      </c>
      <c r="AU32">
        <f>991.4+15</f>
        <v>1006.4</v>
      </c>
      <c r="AV32">
        <v>82.7</v>
      </c>
      <c r="AW32">
        <f>914.8+15</f>
        <v>929.8</v>
      </c>
      <c r="AY32" t="s">
        <v>76</v>
      </c>
      <c r="BV32" s="7"/>
      <c r="BW32" s="7"/>
    </row>
    <row r="33" spans="1:75" ht="16.5">
      <c r="A33" s="1">
        <v>39271</v>
      </c>
      <c r="B33">
        <v>88.244312</v>
      </c>
      <c r="C33">
        <v>102.06581</v>
      </c>
      <c r="D33">
        <v>17.019271</v>
      </c>
      <c r="E33">
        <v>31.330157</v>
      </c>
      <c r="G33">
        <v>1999.3511</v>
      </c>
      <c r="H33">
        <v>1985.6282</v>
      </c>
      <c r="I33">
        <v>120.82158</v>
      </c>
      <c r="J33">
        <v>106.90516</v>
      </c>
      <c r="L33">
        <f t="shared" si="2"/>
        <v>88.244312</v>
      </c>
      <c r="M33">
        <f t="shared" si="3"/>
        <v>102.06581</v>
      </c>
      <c r="N33">
        <f t="shared" si="4"/>
        <v>17.019271</v>
      </c>
      <c r="O33">
        <f t="shared" si="5"/>
        <v>31.330157</v>
      </c>
      <c r="Q33">
        <f t="shared" si="6"/>
        <v>1999.3511</v>
      </c>
      <c r="R33">
        <f t="shared" si="7"/>
        <v>1985.6282</v>
      </c>
      <c r="S33">
        <f t="shared" si="0"/>
        <v>120.82158</v>
      </c>
      <c r="T33">
        <f t="shared" si="1"/>
        <v>106.90516</v>
      </c>
      <c r="V33" s="7">
        <v>943.87604</v>
      </c>
      <c r="X33" s="2">
        <f t="shared" si="8"/>
        <v>-926.856769</v>
      </c>
      <c r="Y33" s="2">
        <f t="shared" si="9"/>
        <v>-912.545883</v>
      </c>
      <c r="Z33" s="9">
        <f t="shared" si="10"/>
        <v>1064.69762</v>
      </c>
      <c r="AA33" s="9">
        <f t="shared" si="11"/>
        <v>1050.7812</v>
      </c>
      <c r="AC33">
        <f t="shared" si="22"/>
        <v>29.98532600000004</v>
      </c>
      <c r="AD33">
        <f t="shared" si="23"/>
        <v>-0.8184099999999397</v>
      </c>
      <c r="AH33">
        <f t="shared" si="24"/>
        <v>-25.633154672000046</v>
      </c>
      <c r="AI33">
        <f t="shared" si="25"/>
        <v>-25.572233110000184</v>
      </c>
      <c r="AJ33">
        <f t="shared" si="26"/>
        <v>-33.96300410000015</v>
      </c>
      <c r="AK33">
        <f t="shared" si="27"/>
        <v>-33.731114200000206</v>
      </c>
      <c r="AM33" s="21">
        <v>930</v>
      </c>
      <c r="AN33">
        <f>-1006.7-15</f>
        <v>-1021.7</v>
      </c>
      <c r="AO33">
        <v>74.5</v>
      </c>
      <c r="AP33">
        <f>-855.8-15</f>
        <v>-870.8</v>
      </c>
      <c r="AQ33">
        <v>-5</v>
      </c>
      <c r="AS33" s="21">
        <v>-930</v>
      </c>
      <c r="AT33">
        <v>-63.7</v>
      </c>
      <c r="AU33">
        <f>992+15</f>
        <v>1007</v>
      </c>
      <c r="AV33">
        <v>83.8</v>
      </c>
      <c r="AW33">
        <f>914.4+15</f>
        <v>929.4</v>
      </c>
      <c r="AY33" t="s">
        <v>76</v>
      </c>
      <c r="BV33" s="7"/>
      <c r="BW33" s="7"/>
    </row>
    <row r="34" spans="1:75" ht="16.5">
      <c r="A34" s="1">
        <v>39280</v>
      </c>
      <c r="B34">
        <v>91.552163</v>
      </c>
      <c r="C34">
        <v>103.37022</v>
      </c>
      <c r="D34">
        <v>20.973506</v>
      </c>
      <c r="E34">
        <v>33.191274</v>
      </c>
      <c r="G34">
        <v>1998.0991</v>
      </c>
      <c r="H34">
        <v>1986.0307</v>
      </c>
      <c r="I34">
        <v>118.98154</v>
      </c>
      <c r="J34">
        <v>106.5247</v>
      </c>
      <c r="L34">
        <f t="shared" si="2"/>
        <v>91.552163</v>
      </c>
      <c r="M34">
        <f t="shared" si="3"/>
        <v>103.37022</v>
      </c>
      <c r="N34">
        <f t="shared" si="4"/>
        <v>20.973506</v>
      </c>
      <c r="O34">
        <f t="shared" si="5"/>
        <v>33.191274</v>
      </c>
      <c r="Q34">
        <f t="shared" si="6"/>
        <v>1998.0991</v>
      </c>
      <c r="R34">
        <f t="shared" si="7"/>
        <v>1986.0307</v>
      </c>
      <c r="S34">
        <f t="shared" si="0"/>
        <v>118.98154</v>
      </c>
      <c r="T34">
        <f t="shared" si="1"/>
        <v>106.5247</v>
      </c>
      <c r="V34" s="7">
        <v>944.15665</v>
      </c>
      <c r="X34" s="2">
        <f t="shared" si="8"/>
        <v>-923.183144</v>
      </c>
      <c r="Y34" s="2">
        <f t="shared" si="9"/>
        <v>-910.965376</v>
      </c>
      <c r="Z34" s="9">
        <f t="shared" si="10"/>
        <v>1063.1381900000001</v>
      </c>
      <c r="AA34" s="9">
        <f t="shared" si="11"/>
        <v>1050.68135</v>
      </c>
      <c r="AC34">
        <f t="shared" si="22"/>
        <v>27.358260000000026</v>
      </c>
      <c r="AD34">
        <f t="shared" si="23"/>
        <v>0.011229999999759599</v>
      </c>
      <c r="AH34">
        <f t="shared" si="24"/>
        <v>-25.369924052999977</v>
      </c>
      <c r="AI34">
        <f t="shared" si="25"/>
        <v>-25.33657282000013</v>
      </c>
      <c r="AJ34">
        <f t="shared" si="26"/>
        <v>-34.231622099999754</v>
      </c>
      <c r="AK34">
        <f t="shared" si="27"/>
        <v>-34.24594169999989</v>
      </c>
      <c r="AM34" s="21">
        <v>930</v>
      </c>
      <c r="AN34">
        <f>-1007.8-15</f>
        <v>-1022.8</v>
      </c>
      <c r="AO34">
        <v>75.4</v>
      </c>
      <c r="AP34">
        <f>-854.8-15</f>
        <v>-869.8</v>
      </c>
      <c r="AQ34">
        <v>-5.6</v>
      </c>
      <c r="AS34" s="21">
        <v>-930</v>
      </c>
      <c r="AT34">
        <v>-64.8</v>
      </c>
      <c r="AU34">
        <f>993.3+15</f>
        <v>1008.3</v>
      </c>
      <c r="AV34">
        <v>84.8</v>
      </c>
      <c r="AW34">
        <f>913.7+15</f>
        <v>928.7</v>
      </c>
      <c r="AY34" t="s">
        <v>76</v>
      </c>
      <c r="BV34" s="7"/>
      <c r="BW34" s="7"/>
    </row>
    <row r="35" spans="1:75" ht="16.5">
      <c r="A35" s="1">
        <v>39288</v>
      </c>
      <c r="B35">
        <v>97.694494</v>
      </c>
      <c r="C35">
        <v>106.03787</v>
      </c>
      <c r="D35">
        <v>27.963942</v>
      </c>
      <c r="E35">
        <v>36.701646</v>
      </c>
      <c r="G35">
        <v>1995.7004</v>
      </c>
      <c r="H35">
        <v>1986.2615</v>
      </c>
      <c r="I35">
        <v>115.31745</v>
      </c>
      <c r="J35">
        <v>105.67136</v>
      </c>
      <c r="L35">
        <f t="shared" si="2"/>
        <v>97.694494</v>
      </c>
      <c r="M35">
        <f t="shared" si="3"/>
        <v>106.03787</v>
      </c>
      <c r="N35">
        <f t="shared" si="4"/>
        <v>27.963942</v>
      </c>
      <c r="O35">
        <f t="shared" si="5"/>
        <v>36.701646</v>
      </c>
      <c r="Q35">
        <f t="shared" si="6"/>
        <v>1995.7004</v>
      </c>
      <c r="R35">
        <f t="shared" si="7"/>
        <v>1986.2615</v>
      </c>
      <c r="S35">
        <f t="shared" si="0"/>
        <v>115.31745</v>
      </c>
      <c r="T35">
        <f t="shared" si="1"/>
        <v>105.67136</v>
      </c>
      <c r="V35" s="7">
        <v>944.703</v>
      </c>
      <c r="X35" s="2">
        <f t="shared" si="8"/>
        <v>-916.739058</v>
      </c>
      <c r="Y35" s="2">
        <f t="shared" si="9"/>
        <v>-908.001354</v>
      </c>
      <c r="Z35" s="9">
        <f t="shared" si="10"/>
        <v>1060.02045</v>
      </c>
      <c r="AA35" s="9">
        <f t="shared" si="11"/>
        <v>1050.37436</v>
      </c>
      <c r="AC35">
        <f t="shared" si="22"/>
        <v>22.654206000000098</v>
      </c>
      <c r="AD35">
        <f t="shared" si="23"/>
        <v>1.7235950000000777</v>
      </c>
      <c r="AH35">
        <f t="shared" si="24"/>
        <v>-25.258581314000025</v>
      </c>
      <c r="AI35">
        <f t="shared" si="25"/>
        <v>-25.122897970000054</v>
      </c>
      <c r="AJ35">
        <f t="shared" si="26"/>
        <v>-34.87630239999987</v>
      </c>
      <c r="AK35">
        <f t="shared" si="27"/>
        <v>-34.790886500000056</v>
      </c>
      <c r="AM35" s="21">
        <v>930</v>
      </c>
      <c r="AN35">
        <f>-1009.6-15</f>
        <v>-1024.6</v>
      </c>
      <c r="AO35">
        <v>76.7</v>
      </c>
      <c r="AP35">
        <f>-852.8-15</f>
        <v>-867.8</v>
      </c>
      <c r="AQ35">
        <v>-6.8</v>
      </c>
      <c r="AS35" s="21">
        <v>-930</v>
      </c>
      <c r="AT35">
        <v>-66.5</v>
      </c>
      <c r="AU35">
        <f>994.4+15</f>
        <v>1009.4</v>
      </c>
      <c r="AV35">
        <v>86.8</v>
      </c>
      <c r="AW35">
        <f>912.4+15</f>
        <v>927.4</v>
      </c>
      <c r="AY35" t="s">
        <v>76</v>
      </c>
      <c r="BV35" s="7"/>
      <c r="BW35" s="7"/>
    </row>
    <row r="36" spans="1:75" ht="16.5">
      <c r="A36" s="1">
        <v>39291</v>
      </c>
      <c r="B36" t="s">
        <v>77</v>
      </c>
      <c r="C36" t="s">
        <v>77</v>
      </c>
      <c r="D36">
        <v>32.475739</v>
      </c>
      <c r="E36">
        <v>38.975175</v>
      </c>
      <c r="G36">
        <v>1994.4103</v>
      </c>
      <c r="H36">
        <v>1986.7359</v>
      </c>
      <c r="I36">
        <v>113.35961</v>
      </c>
      <c r="J36">
        <v>105.45504</v>
      </c>
      <c r="L36" t="str">
        <f aca="true" t="shared" si="28" ref="L36:M38">B36</f>
        <v>No</v>
      </c>
      <c r="M36" t="str">
        <f t="shared" si="28"/>
        <v>No</v>
      </c>
      <c r="N36">
        <f t="shared" si="4"/>
        <v>32.475739</v>
      </c>
      <c r="O36">
        <f t="shared" si="5"/>
        <v>38.975175</v>
      </c>
      <c r="Q36">
        <f t="shared" si="6"/>
        <v>1994.4103</v>
      </c>
      <c r="R36">
        <f t="shared" si="7"/>
        <v>1986.7359</v>
      </c>
      <c r="S36">
        <f t="shared" si="0"/>
        <v>113.35961</v>
      </c>
      <c r="T36">
        <f t="shared" si="1"/>
        <v>105.45504</v>
      </c>
      <c r="V36" s="7">
        <v>944.97829</v>
      </c>
      <c r="X36" s="2">
        <f t="shared" si="8"/>
        <v>-912.502551</v>
      </c>
      <c r="Y36" s="2">
        <f t="shared" si="9"/>
        <v>-906.003115</v>
      </c>
      <c r="Z36" s="9">
        <f t="shared" si="10"/>
        <v>1058.3379</v>
      </c>
      <c r="AA36" s="9">
        <f t="shared" si="11"/>
        <v>1050.43333</v>
      </c>
      <c r="AC36">
        <f t="shared" si="22"/>
        <v>19.536833000000055</v>
      </c>
      <c r="AD36">
        <f t="shared" si="23"/>
        <v>2.535384999999824</v>
      </c>
      <c r="AJ36">
        <f t="shared" si="26"/>
        <v>-35.22875929999998</v>
      </c>
      <c r="AK36">
        <f t="shared" si="27"/>
        <v>-35.22102289999975</v>
      </c>
      <c r="AM36" s="21">
        <v>930</v>
      </c>
      <c r="AN36">
        <f>-1010.7-15</f>
        <v>-1025.7</v>
      </c>
      <c r="AO36">
        <v>77.7</v>
      </c>
      <c r="AP36">
        <f>-852-15</f>
        <v>-867</v>
      </c>
      <c r="AQ36">
        <v>-7.8</v>
      </c>
      <c r="AS36" s="21">
        <v>-930</v>
      </c>
      <c r="AT36">
        <v>-67.4</v>
      </c>
      <c r="AU36">
        <f>995.4+15</f>
        <v>1010.4</v>
      </c>
      <c r="AV36">
        <v>87</v>
      </c>
      <c r="AW36">
        <f>911.7+15</f>
        <v>926.7</v>
      </c>
      <c r="AY36" t="s">
        <v>76</v>
      </c>
      <c r="BV36" s="7"/>
      <c r="BW36" s="7"/>
    </row>
    <row r="37" spans="1:75" ht="16.5">
      <c r="A37" s="1">
        <v>39294</v>
      </c>
      <c r="B37" t="s">
        <v>77</v>
      </c>
      <c r="C37" t="s">
        <v>77</v>
      </c>
      <c r="D37">
        <v>37.141374</v>
      </c>
      <c r="E37">
        <v>41.779666</v>
      </c>
      <c r="G37" t="s">
        <v>77</v>
      </c>
      <c r="H37" t="s">
        <v>77</v>
      </c>
      <c r="I37">
        <v>110.85505</v>
      </c>
      <c r="J37">
        <v>104.86768</v>
      </c>
      <c r="L37" t="str">
        <f t="shared" si="28"/>
        <v>No</v>
      </c>
      <c r="M37" t="str">
        <f t="shared" si="28"/>
        <v>No</v>
      </c>
      <c r="N37">
        <f t="shared" si="4"/>
        <v>37.141374</v>
      </c>
      <c r="O37">
        <f t="shared" si="5"/>
        <v>41.779666</v>
      </c>
      <c r="Q37" t="str">
        <f>G37</f>
        <v>No</v>
      </c>
      <c r="R37" t="str">
        <f>H37</f>
        <v>No</v>
      </c>
      <c r="S37">
        <f t="shared" si="0"/>
        <v>110.85505</v>
      </c>
      <c r="T37">
        <f t="shared" si="1"/>
        <v>104.86768</v>
      </c>
      <c r="V37" s="7">
        <v>945.29111</v>
      </c>
      <c r="X37" s="2">
        <f t="shared" si="8"/>
        <v>-908.149736</v>
      </c>
      <c r="Y37" s="2">
        <f t="shared" si="9"/>
        <v>-903.511444</v>
      </c>
      <c r="Z37" s="9">
        <f t="shared" si="10"/>
        <v>1056.14616</v>
      </c>
      <c r="AA37" s="9">
        <f t="shared" si="11"/>
        <v>1050.15879</v>
      </c>
      <c r="AC37">
        <f t="shared" si="22"/>
        <v>16.114590000000074</v>
      </c>
      <c r="AD37">
        <f t="shared" si="23"/>
        <v>3.7685250000001</v>
      </c>
      <c r="AM37" s="21">
        <v>930</v>
      </c>
      <c r="AN37">
        <f>-1011.7-15</f>
        <v>-1026.7</v>
      </c>
      <c r="AO37">
        <v>79</v>
      </c>
      <c r="AP37">
        <f>-851-15</f>
        <v>-866</v>
      </c>
      <c r="AQ37">
        <v>-9</v>
      </c>
      <c r="AS37" s="21">
        <v>-930</v>
      </c>
      <c r="AT37">
        <v>-68.3</v>
      </c>
      <c r="AU37">
        <f>996.2+15</f>
        <v>1011.2</v>
      </c>
      <c r="AV37">
        <v>88.4</v>
      </c>
      <c r="AW37">
        <f>910.6+15</f>
        <v>925.6</v>
      </c>
      <c r="AY37" t="s">
        <v>76</v>
      </c>
      <c r="BV37" s="7"/>
      <c r="BW37" s="7"/>
    </row>
    <row r="38" spans="1:75" ht="16.5">
      <c r="A38" s="1">
        <v>39296</v>
      </c>
      <c r="B38" t="s">
        <v>77</v>
      </c>
      <c r="C38" t="s">
        <v>77</v>
      </c>
      <c r="D38">
        <v>42.395753</v>
      </c>
      <c r="E38">
        <v>44.709659</v>
      </c>
      <c r="G38" t="s">
        <v>77</v>
      </c>
      <c r="H38" t="s">
        <v>77</v>
      </c>
      <c r="I38">
        <v>108.25785</v>
      </c>
      <c r="J38">
        <v>104.87892</v>
      </c>
      <c r="L38" t="str">
        <f t="shared" si="28"/>
        <v>No</v>
      </c>
      <c r="M38" t="str">
        <f t="shared" si="28"/>
        <v>No</v>
      </c>
      <c r="N38">
        <f t="shared" si="4"/>
        <v>42.395753</v>
      </c>
      <c r="O38">
        <f t="shared" si="5"/>
        <v>44.709659</v>
      </c>
      <c r="Q38" t="str">
        <f>G38</f>
        <v>No</v>
      </c>
      <c r="R38" t="str">
        <f>H38</f>
        <v>No</v>
      </c>
      <c r="S38">
        <f t="shared" si="0"/>
        <v>108.25785</v>
      </c>
      <c r="T38">
        <f t="shared" si="1"/>
        <v>104.87892</v>
      </c>
      <c r="V38" s="7">
        <v>945.52017</v>
      </c>
      <c r="X38" s="2">
        <f t="shared" si="8"/>
        <v>-903.124417</v>
      </c>
      <c r="Y38" s="2">
        <f t="shared" si="9"/>
        <v>-900.810511</v>
      </c>
      <c r="Z38" s="9">
        <f t="shared" si="10"/>
        <v>1053.77802</v>
      </c>
      <c r="AA38" s="9">
        <f t="shared" si="11"/>
        <v>1050.39909</v>
      </c>
      <c r="AC38">
        <f t="shared" si="22"/>
        <v>12.25146400000011</v>
      </c>
      <c r="AD38">
        <f t="shared" si="23"/>
        <v>4.832445000000153</v>
      </c>
      <c r="AM38" s="21">
        <v>930</v>
      </c>
      <c r="AN38">
        <f>-1012.7-15</f>
        <v>-1027.7</v>
      </c>
      <c r="AO38">
        <v>80</v>
      </c>
      <c r="AP38">
        <f>-849.8-15</f>
        <v>-864.8</v>
      </c>
      <c r="AQ38">
        <v>-9.8</v>
      </c>
      <c r="AS38" s="21">
        <v>-930</v>
      </c>
      <c r="AT38">
        <v>-69.5</v>
      </c>
      <c r="AU38">
        <f>997.5+15</f>
        <v>1012.5</v>
      </c>
      <c r="AV38">
        <v>89.7</v>
      </c>
      <c r="AW38">
        <f>909.3+15</f>
        <v>924.3</v>
      </c>
      <c r="AY38" t="s">
        <v>76</v>
      </c>
      <c r="BV38" s="7"/>
      <c r="BW38" s="7"/>
    </row>
    <row r="39" spans="1:75" ht="16.5">
      <c r="A39" s="1">
        <v>39299</v>
      </c>
      <c r="V39" s="7"/>
      <c r="X39" s="2"/>
      <c r="Y39" s="2"/>
      <c r="Z39" s="9"/>
      <c r="AA39" s="9"/>
      <c r="AM39" s="21">
        <v>930</v>
      </c>
      <c r="AN39">
        <f>-1014.2-15</f>
        <v>-1029.2</v>
      </c>
      <c r="AO39">
        <v>81.8</v>
      </c>
      <c r="AP39">
        <f>-848.7-15</f>
        <v>-863.7</v>
      </c>
      <c r="AQ39">
        <v>-11.6</v>
      </c>
      <c r="AS39" s="21">
        <v>-930</v>
      </c>
      <c r="AT39">
        <v>-70.8</v>
      </c>
      <c r="AU39">
        <f>999.2+15</f>
        <v>1014.2</v>
      </c>
      <c r="AV39">
        <v>91</v>
      </c>
      <c r="AW39">
        <f>907.8+15</f>
        <v>922.8</v>
      </c>
      <c r="BV39" s="7"/>
      <c r="BW39" s="7"/>
    </row>
    <row r="40" spans="1:75" ht="16.5">
      <c r="A40" s="1">
        <v>39302</v>
      </c>
      <c r="B40" t="s">
        <v>77</v>
      </c>
      <c r="C40" t="s">
        <v>77</v>
      </c>
      <c r="D40">
        <v>50.748327</v>
      </c>
      <c r="E40">
        <v>50.314657</v>
      </c>
      <c r="G40" t="s">
        <v>77</v>
      </c>
      <c r="H40" t="s">
        <v>77</v>
      </c>
      <c r="I40">
        <v>104.0754</v>
      </c>
      <c r="J40">
        <v>103.98475</v>
      </c>
      <c r="L40" t="str">
        <f aca="true" t="shared" si="29" ref="L40:L72">B40</f>
        <v>No</v>
      </c>
      <c r="M40" t="str">
        <f aca="true" t="shared" si="30" ref="M40:M72">C40</f>
        <v>No</v>
      </c>
      <c r="N40">
        <f t="shared" si="4"/>
        <v>50.748327</v>
      </c>
      <c r="O40">
        <f t="shared" si="5"/>
        <v>50.314657</v>
      </c>
      <c r="Q40" t="str">
        <f aca="true" t="shared" si="31" ref="Q40:Q72">G40</f>
        <v>No</v>
      </c>
      <c r="R40" t="str">
        <f aca="true" t="shared" si="32" ref="R40:R72">H40</f>
        <v>No</v>
      </c>
      <c r="S40">
        <f t="shared" si="0"/>
        <v>104.0754</v>
      </c>
      <c r="T40">
        <f t="shared" si="1"/>
        <v>103.98475</v>
      </c>
      <c r="V40" s="7">
        <v>946.30328</v>
      </c>
      <c r="X40" s="2">
        <f aca="true" t="shared" si="33" ref="X40:X70">N40-V40</f>
        <v>-895.554953</v>
      </c>
      <c r="Y40" s="2">
        <f aca="true" t="shared" si="34" ref="Y40:Y70">O40-V40</f>
        <v>-895.988623</v>
      </c>
      <c r="Z40" s="9">
        <f aca="true" t="shared" si="35" ref="Z40:Z72">S40+V40</f>
        <v>1050.37868</v>
      </c>
      <c r="AA40" s="9">
        <f aca="true" t="shared" si="36" ref="AA40:AA72">T40+V40</f>
        <v>1050.28803</v>
      </c>
      <c r="AC40">
        <f>1.56-((X40+Y40)/2-(-891.276))</f>
        <v>6.055788000000062</v>
      </c>
      <c r="AD40">
        <f>11.16-((Z40+AA40)/2-1045.761)</f>
        <v>6.587644999999984</v>
      </c>
      <c r="AM40" s="21">
        <v>930</v>
      </c>
      <c r="AN40">
        <f>-1014.2-15</f>
        <v>-1029.2</v>
      </c>
      <c r="AO40">
        <v>81.8</v>
      </c>
      <c r="AP40">
        <f>-848.6-15</f>
        <v>-863.6</v>
      </c>
      <c r="AQ40">
        <v>-11.7</v>
      </c>
      <c r="AS40" s="21">
        <v>-930</v>
      </c>
      <c r="AT40">
        <v>-70.5</v>
      </c>
      <c r="AU40">
        <f>999+15</f>
        <v>1014</v>
      </c>
      <c r="AV40">
        <v>91</v>
      </c>
      <c r="AW40">
        <f>907.8+15</f>
        <v>922.8</v>
      </c>
      <c r="AY40" t="s">
        <v>95</v>
      </c>
      <c r="BV40" s="7"/>
      <c r="BW40" s="7"/>
    </row>
    <row r="41" spans="1:75" ht="16.5">
      <c r="A41" s="1">
        <v>39306</v>
      </c>
      <c r="B41" t="s">
        <v>77</v>
      </c>
      <c r="C41" t="s">
        <v>77</v>
      </c>
      <c r="D41">
        <v>51.378493</v>
      </c>
      <c r="E41">
        <v>50.560164</v>
      </c>
      <c r="G41" t="s">
        <v>77</v>
      </c>
      <c r="H41" t="s">
        <v>77</v>
      </c>
      <c r="I41">
        <v>103.89123</v>
      </c>
      <c r="J41">
        <v>103.79946</v>
      </c>
      <c r="L41" t="str">
        <f t="shared" si="29"/>
        <v>No</v>
      </c>
      <c r="M41" t="str">
        <f t="shared" si="30"/>
        <v>No</v>
      </c>
      <c r="N41">
        <f t="shared" si="4"/>
        <v>51.378493</v>
      </c>
      <c r="O41">
        <f t="shared" si="5"/>
        <v>50.560164</v>
      </c>
      <c r="Q41" t="str">
        <f t="shared" si="31"/>
        <v>No</v>
      </c>
      <c r="R41" t="str">
        <f t="shared" si="32"/>
        <v>No</v>
      </c>
      <c r="S41">
        <f t="shared" si="0"/>
        <v>103.89123</v>
      </c>
      <c r="T41">
        <f t="shared" si="1"/>
        <v>103.79946</v>
      </c>
      <c r="V41" s="7">
        <v>946.90269</v>
      </c>
      <c r="X41" s="2">
        <f t="shared" si="33"/>
        <v>-895.524197</v>
      </c>
      <c r="Y41" s="2">
        <f t="shared" si="34"/>
        <v>-896.342526</v>
      </c>
      <c r="Z41" s="9">
        <f t="shared" si="35"/>
        <v>1050.79392</v>
      </c>
      <c r="AA41" s="9">
        <f t="shared" si="36"/>
        <v>1050.70215</v>
      </c>
      <c r="AC41">
        <f>1.56-((X41+Y41)/2-(-891.276))</f>
        <v>6.217361500000093</v>
      </c>
      <c r="AD41">
        <f>11.16-((Z41+AA41)/2-1045.761)</f>
        <v>6.172964999999895</v>
      </c>
      <c r="AM41">
        <v>945</v>
      </c>
      <c r="AN41">
        <v>-1029</v>
      </c>
      <c r="AO41">
        <v>82.3</v>
      </c>
      <c r="AP41">
        <v>-863.5</v>
      </c>
      <c r="AQ41">
        <v>-11.5</v>
      </c>
      <c r="AS41">
        <v>-945</v>
      </c>
      <c r="AT41">
        <v>-70.8</v>
      </c>
      <c r="AU41">
        <v>1014.3</v>
      </c>
      <c r="AV41">
        <v>91.2</v>
      </c>
      <c r="AW41">
        <v>922.8</v>
      </c>
      <c r="BV41" s="7"/>
      <c r="BW41" s="7"/>
    </row>
    <row r="42" spans="1:83" ht="16.5">
      <c r="A42" s="1">
        <v>39327</v>
      </c>
      <c r="B42" t="s">
        <v>77</v>
      </c>
      <c r="C42" t="s">
        <v>77</v>
      </c>
      <c r="D42">
        <v>57.029674</v>
      </c>
      <c r="E42">
        <v>55.330923</v>
      </c>
      <c r="G42" t="s">
        <v>77</v>
      </c>
      <c r="H42" t="s">
        <v>77</v>
      </c>
      <c r="I42">
        <v>98.63293</v>
      </c>
      <c r="J42">
        <v>99.075101</v>
      </c>
      <c r="L42" t="str">
        <f t="shared" si="29"/>
        <v>No</v>
      </c>
      <c r="M42" t="str">
        <f t="shared" si="30"/>
        <v>No</v>
      </c>
      <c r="N42">
        <f t="shared" si="4"/>
        <v>57.029674</v>
      </c>
      <c r="O42">
        <f t="shared" si="5"/>
        <v>55.330923</v>
      </c>
      <c r="Q42" t="str">
        <f t="shared" si="31"/>
        <v>No</v>
      </c>
      <c r="R42" t="str">
        <f t="shared" si="32"/>
        <v>No</v>
      </c>
      <c r="S42">
        <f t="shared" si="0"/>
        <v>98.63293</v>
      </c>
      <c r="T42">
        <f t="shared" si="1"/>
        <v>99.075101</v>
      </c>
      <c r="V42" s="7">
        <v>950.95349</v>
      </c>
      <c r="X42" s="2">
        <f t="shared" si="33"/>
        <v>-893.923816</v>
      </c>
      <c r="Y42" s="2">
        <f t="shared" si="34"/>
        <v>-895.622567</v>
      </c>
      <c r="Z42" s="9">
        <f t="shared" si="35"/>
        <v>1049.58642</v>
      </c>
      <c r="AA42" s="9">
        <f t="shared" si="36"/>
        <v>1050.028591</v>
      </c>
      <c r="AC42">
        <f>1.56-((X42+Y42)/2-(-891.276))</f>
        <v>5.057191499999986</v>
      </c>
      <c r="AD42">
        <f>11.16-((Z42+AA42)/2-1045.761)</f>
        <v>7.113494500000034</v>
      </c>
      <c r="AM42">
        <v>945</v>
      </c>
      <c r="AN42">
        <v>-1029.4</v>
      </c>
      <c r="AO42">
        <v>82.4</v>
      </c>
      <c r="AP42">
        <v>-862.7</v>
      </c>
      <c r="AQ42">
        <v>-11.8</v>
      </c>
      <c r="AS42">
        <v>-945</v>
      </c>
      <c r="AT42">
        <v>-70.8</v>
      </c>
      <c r="AU42">
        <v>1014.6</v>
      </c>
      <c r="AV42">
        <v>91.8</v>
      </c>
      <c r="AW42">
        <v>922.7</v>
      </c>
      <c r="BA42" s="17">
        <v>-632.973</v>
      </c>
      <c r="BB42" s="17">
        <v>-634.498</v>
      </c>
      <c r="BC42" s="17">
        <v>1029.47</v>
      </c>
      <c r="BD42" s="17">
        <v>1029.84</v>
      </c>
      <c r="BF42">
        <v>314</v>
      </c>
      <c r="BG42" t="s">
        <v>56</v>
      </c>
      <c r="BH42" t="s">
        <v>58</v>
      </c>
      <c r="BI42">
        <v>1800</v>
      </c>
      <c r="BJ42" s="7">
        <f aca="true" t="shared" si="37" ref="BJ42:BJ51">(1800-BI42)*0.25</f>
        <v>0</v>
      </c>
      <c r="BK42">
        <v>1800</v>
      </c>
      <c r="BL42" s="7">
        <f aca="true" t="shared" si="38" ref="BL42:BL51">(1800-BK42)*0.24</f>
        <v>0</v>
      </c>
      <c r="BM42">
        <v>256</v>
      </c>
      <c r="BN42">
        <v>256</v>
      </c>
      <c r="BP42">
        <f aca="true" t="shared" si="39" ref="BP42:BP51">BA42+(BM42-256)-256</f>
        <v>-888.973</v>
      </c>
      <c r="BQ42">
        <f aca="true" t="shared" si="40" ref="BQ42:BQ51">BB42+(BN42-256)-256</f>
        <v>-890.498</v>
      </c>
      <c r="BS42">
        <f aca="true" t="shared" si="41" ref="BS42:BS51">BC42+BL42</f>
        <v>1029.47</v>
      </c>
      <c r="BT42">
        <f aca="true" t="shared" si="42" ref="BT42:BT51">BD42+BL42</f>
        <v>1029.84</v>
      </c>
      <c r="BV42" s="7">
        <f aca="true" t="shared" si="43" ref="BV42:BV51">(BS42+$BV$7-146)*0.996</f>
        <v>922.2527568515202</v>
      </c>
      <c r="BW42" s="7">
        <f aca="true" t="shared" si="44" ref="BW42:BW51">(BT42+$BV$7-146)*0.996</f>
        <v>922.6212768515201</v>
      </c>
      <c r="BY42">
        <f>BP42-(945-AM42)</f>
        <v>-888.973</v>
      </c>
      <c r="BZ42">
        <f>BQ42-(945-AM42)</f>
        <v>-890.498</v>
      </c>
      <c r="CA42">
        <f>BV42-(945+AS42)</f>
        <v>922.2527568515202</v>
      </c>
      <c r="CB42">
        <f>BW42-(945+AS42)</f>
        <v>922.6212768515201</v>
      </c>
      <c r="CD42" s="7"/>
      <c r="CE42" s="7"/>
    </row>
    <row r="43" spans="1:90" ht="16.5">
      <c r="A43" s="1">
        <v>39334</v>
      </c>
      <c r="B43">
        <v>120.18969</v>
      </c>
      <c r="C43">
        <v>117.86324</v>
      </c>
      <c r="D43">
        <v>59.193759</v>
      </c>
      <c r="E43">
        <v>56.84318</v>
      </c>
      <c r="G43">
        <v>1985.9665</v>
      </c>
      <c r="H43">
        <v>1987.0599</v>
      </c>
      <c r="I43">
        <v>96.197791</v>
      </c>
      <c r="J43">
        <v>97.107978</v>
      </c>
      <c r="L43">
        <f t="shared" si="29"/>
        <v>120.18969</v>
      </c>
      <c r="M43">
        <f t="shared" si="30"/>
        <v>117.86324</v>
      </c>
      <c r="N43">
        <f t="shared" si="4"/>
        <v>59.193759</v>
      </c>
      <c r="O43">
        <f t="shared" si="5"/>
        <v>56.84318</v>
      </c>
      <c r="Q43">
        <f t="shared" si="31"/>
        <v>1985.9665</v>
      </c>
      <c r="R43">
        <f t="shared" si="32"/>
        <v>1987.0599</v>
      </c>
      <c r="S43">
        <f t="shared" si="0"/>
        <v>96.197791</v>
      </c>
      <c r="T43">
        <f t="shared" si="1"/>
        <v>97.107978</v>
      </c>
      <c r="V43" s="7">
        <v>952.58876</v>
      </c>
      <c r="X43" s="2">
        <f t="shared" si="33"/>
        <v>-893.395001</v>
      </c>
      <c r="Y43" s="2">
        <f t="shared" si="34"/>
        <v>-895.74558</v>
      </c>
      <c r="Z43" s="9">
        <f t="shared" si="35"/>
        <v>1048.786551</v>
      </c>
      <c r="AA43" s="9">
        <f t="shared" si="36"/>
        <v>1049.696738</v>
      </c>
      <c r="AC43">
        <f>1.56-((X43+Y43)/2-(-891.276))</f>
        <v>4.854290500000102</v>
      </c>
      <c r="AD43">
        <f>11.16-((Z43+AA43)/2-1045.761)</f>
        <v>7.679355500000074</v>
      </c>
      <c r="AH43">
        <f aca="true" t="shared" si="45" ref="AH43:AI48">(X43-1024*0.0545)-(L43-1024+7.5)*1.031</f>
        <v>-25.1070713900001</v>
      </c>
      <c r="AI43">
        <f t="shared" si="45"/>
        <v>-25.059080440000116</v>
      </c>
      <c r="AJ43">
        <f>(Z43-2048*0.0545)-(Q43-1024-15.56)*1.031+2.5</f>
        <v>-36.07455049999999</v>
      </c>
      <c r="AK43">
        <f>(AA43-2048*0.0545)-(R43-1024-15.56)*1.031+2.5</f>
        <v>-36.29165889999979</v>
      </c>
      <c r="AM43">
        <v>945</v>
      </c>
      <c r="AN43">
        <v>-1030</v>
      </c>
      <c r="AO43">
        <v>82.2</v>
      </c>
      <c r="AP43">
        <v>-862.8</v>
      </c>
      <c r="AQ43">
        <v>-12</v>
      </c>
      <c r="AS43">
        <v>-945</v>
      </c>
      <c r="AT43">
        <v>-71.3</v>
      </c>
      <c r="AU43">
        <v>1014.7</v>
      </c>
      <c r="AV43">
        <v>92.2</v>
      </c>
      <c r="AW43">
        <v>922.3</v>
      </c>
      <c r="BA43" s="17">
        <v>-630.278</v>
      </c>
      <c r="BB43" s="17">
        <v>-632.494</v>
      </c>
      <c r="BC43" s="17">
        <v>1028.95</v>
      </c>
      <c r="BD43" s="17">
        <v>1029.79</v>
      </c>
      <c r="BF43">
        <v>321</v>
      </c>
      <c r="BG43" t="s">
        <v>151</v>
      </c>
      <c r="BH43" t="s">
        <v>153</v>
      </c>
      <c r="BI43">
        <v>1800</v>
      </c>
      <c r="BJ43" s="7">
        <f t="shared" si="37"/>
        <v>0</v>
      </c>
      <c r="BK43">
        <v>1800</v>
      </c>
      <c r="BL43" s="7">
        <f t="shared" si="38"/>
        <v>0</v>
      </c>
      <c r="BM43">
        <v>256</v>
      </c>
      <c r="BN43">
        <v>256</v>
      </c>
      <c r="BP43">
        <f t="shared" si="39"/>
        <v>-886.278</v>
      </c>
      <c r="BQ43">
        <f t="shared" si="40"/>
        <v>-888.494</v>
      </c>
      <c r="BS43">
        <f t="shared" si="41"/>
        <v>1028.95</v>
      </c>
      <c r="BT43">
        <f t="shared" si="42"/>
        <v>1029.79</v>
      </c>
      <c r="BV43" s="7">
        <f t="shared" si="43"/>
        <v>921.7348368515202</v>
      </c>
      <c r="BW43" s="7">
        <f t="shared" si="44"/>
        <v>922.5714768515201</v>
      </c>
      <c r="BY43">
        <f aca="true" t="shared" si="46" ref="BY43:BY51">BP43-(945-AM43)</f>
        <v>-886.278</v>
      </c>
      <c r="BZ43">
        <f aca="true" t="shared" si="47" ref="BZ43:BZ51">BQ43-(945-AM43)</f>
        <v>-888.494</v>
      </c>
      <c r="CA43">
        <f aca="true" t="shared" si="48" ref="CA43:CA51">BV43-(945+AS43)</f>
        <v>921.7348368515202</v>
      </c>
      <c r="CB43">
        <f aca="true" t="shared" si="49" ref="CB43:CB51">BW43-(945+AS43)</f>
        <v>922.5714768515201</v>
      </c>
      <c r="CD43" s="7">
        <f>BY43*(-1)-(L43-1024+7.51)*1.031*(-1)</f>
        <v>-37.80761960999985</v>
      </c>
      <c r="CE43" s="7">
        <f>BZ43*(-1)-(M43-1024+7.51)*1.031*(-1)</f>
        <v>-37.99018955999986</v>
      </c>
      <c r="CF43" s="7">
        <f>CA43*(-1)-(Q43-1024-15.56)*1.031*(-1)</f>
        <v>54.01026464847973</v>
      </c>
      <c r="CG43" s="7">
        <f>CB43*(-1)-(R43-1024-15.56)*1.031*(-1)</f>
        <v>54.30092004847984</v>
      </c>
      <c r="CI43" s="7">
        <f>BY43*(-1)-(X43-1024*0.0545)*(-1)</f>
        <v>-62.92500099999995</v>
      </c>
      <c r="CJ43" s="7">
        <f>BZ43*(-1)-(Y43-1024*0.0545)*(-1)</f>
        <v>-63.05957999999998</v>
      </c>
      <c r="CK43" s="7">
        <f>CF43*(-1)-(Z43-1024-15.56)*1.031*(-1)</f>
        <v>-44.49769056747982</v>
      </c>
      <c r="CL43" s="7">
        <f>CG43*(-1)-(AA43-1024-15.56)*1.031*(-1)</f>
        <v>-43.84994317047974</v>
      </c>
    </row>
    <row r="44" spans="1:90" ht="16.5">
      <c r="A44" s="1">
        <v>39348</v>
      </c>
      <c r="B44">
        <v>121.01011</v>
      </c>
      <c r="C44">
        <v>118.47544</v>
      </c>
      <c r="D44">
        <v>64.265328</v>
      </c>
      <c r="E44">
        <v>61.564293</v>
      </c>
      <c r="G44">
        <v>1985.6931</v>
      </c>
      <c r="H44">
        <v>1987.1092</v>
      </c>
      <c r="I44">
        <v>91.848698</v>
      </c>
      <c r="J44">
        <v>93.240146</v>
      </c>
      <c r="L44">
        <f t="shared" si="29"/>
        <v>121.01011</v>
      </c>
      <c r="M44">
        <f t="shared" si="30"/>
        <v>118.47544</v>
      </c>
      <c r="N44">
        <f t="shared" si="4"/>
        <v>64.265328</v>
      </c>
      <c r="O44">
        <f>E44+(AM44-945)</f>
        <v>61.564293</v>
      </c>
      <c r="Q44">
        <f t="shared" si="31"/>
        <v>1985.6931</v>
      </c>
      <c r="R44">
        <f t="shared" si="32"/>
        <v>1987.1092</v>
      </c>
      <c r="S44">
        <f t="shared" si="0"/>
        <v>91.848698</v>
      </c>
      <c r="T44">
        <f t="shared" si="1"/>
        <v>93.240146</v>
      </c>
      <c r="V44" s="7">
        <v>956.16223</v>
      </c>
      <c r="X44" s="2">
        <f t="shared" si="33"/>
        <v>-891.8969020000001</v>
      </c>
      <c r="Y44" s="2">
        <f t="shared" si="34"/>
        <v>-894.597937</v>
      </c>
      <c r="Z44" s="9">
        <f t="shared" si="35"/>
        <v>1048.010928</v>
      </c>
      <c r="AA44" s="9">
        <f t="shared" si="36"/>
        <v>1049.402376</v>
      </c>
      <c r="AC44">
        <f>1.56-((X44+Y44)/2-(-891.276))</f>
        <v>3.5314195000000246</v>
      </c>
      <c r="AD44">
        <f>11.16-((Z44+AA44)/2-1045.761)</f>
        <v>8.214348000000118</v>
      </c>
      <c r="AH44">
        <f t="shared" si="45"/>
        <v>-24.454825410000126</v>
      </c>
      <c r="AI44">
        <f t="shared" si="45"/>
        <v>-24.542615640000122</v>
      </c>
      <c r="AJ44">
        <f>(Z44-2048*0.0545)-(Q44-1024-15.56)*1.031+2.5</f>
        <v>-36.56829809999999</v>
      </c>
      <c r="AK44">
        <f>(AA44-2048*0.0545)-(R44-1024-15.56)*1.031+2.5</f>
        <v>-36.63684920000003</v>
      </c>
      <c r="AM44">
        <v>945</v>
      </c>
      <c r="AN44">
        <v>-1030.2</v>
      </c>
      <c r="AO44">
        <v>82.8</v>
      </c>
      <c r="AP44">
        <v>-862.3</v>
      </c>
      <c r="AQ44">
        <v>-12.4</v>
      </c>
      <c r="AS44">
        <v>-945</v>
      </c>
      <c r="AT44">
        <v>-71.2</v>
      </c>
      <c r="AU44">
        <v>1015.2</v>
      </c>
      <c r="AV44">
        <v>92.3</v>
      </c>
      <c r="AW44">
        <v>922.2</v>
      </c>
      <c r="BA44" s="17">
        <v>-629.785</v>
      </c>
      <c r="BB44" s="17">
        <v>-632.514</v>
      </c>
      <c r="BC44" s="17">
        <v>1028.15</v>
      </c>
      <c r="BD44" s="17">
        <v>1029.56</v>
      </c>
      <c r="BF44">
        <v>320</v>
      </c>
      <c r="BG44" t="s">
        <v>154</v>
      </c>
      <c r="BH44" t="s">
        <v>58</v>
      </c>
      <c r="BI44">
        <v>1800</v>
      </c>
      <c r="BJ44" s="7">
        <f t="shared" si="37"/>
        <v>0</v>
      </c>
      <c r="BK44">
        <v>1800</v>
      </c>
      <c r="BL44" s="7">
        <f t="shared" si="38"/>
        <v>0</v>
      </c>
      <c r="BM44">
        <v>256</v>
      </c>
      <c r="BN44">
        <v>256</v>
      </c>
      <c r="BP44">
        <f t="shared" si="39"/>
        <v>-885.785</v>
      </c>
      <c r="BQ44">
        <f t="shared" si="40"/>
        <v>-888.514</v>
      </c>
      <c r="BS44">
        <f t="shared" si="41"/>
        <v>1028.15</v>
      </c>
      <c r="BT44">
        <f t="shared" si="42"/>
        <v>1029.56</v>
      </c>
      <c r="BV44" s="7">
        <f t="shared" si="43"/>
        <v>920.9380368515202</v>
      </c>
      <c r="BW44" s="7">
        <f t="shared" si="44"/>
        <v>922.3423968515201</v>
      </c>
      <c r="BY44">
        <f t="shared" si="46"/>
        <v>-885.785</v>
      </c>
      <c r="BZ44">
        <f t="shared" si="47"/>
        <v>-888.514</v>
      </c>
      <c r="CA44">
        <f t="shared" si="48"/>
        <v>920.9380368515202</v>
      </c>
      <c r="CB44">
        <f t="shared" si="49"/>
        <v>922.3423968515201</v>
      </c>
      <c r="CD44" s="7">
        <f>BY44*(-1)-(L44-1024+7.51)*1.031*(-1)</f>
        <v>-37.45476659000008</v>
      </c>
      <c r="CE44" s="7">
        <f>BZ44*(-1)-(M44-1024+7.51)*1.031*(-1)</f>
        <v>-37.33901135999986</v>
      </c>
      <c r="CF44" s="7">
        <f>CA44*(-1)-(Q44-1024-15.56)*1.031*(-1)</f>
        <v>54.525189248479705</v>
      </c>
      <c r="CG44" s="7">
        <f>CB44*(-1)-(R44-1024-15.56)*1.031*(-1)</f>
        <v>54.58082834847994</v>
      </c>
      <c r="CI44" s="7">
        <f>BY44*(-1)-(X44-1024*0.0545)*(-1)</f>
        <v>-61.91990200000009</v>
      </c>
      <c r="CJ44" s="7">
        <f>BZ44*(-1)-(Y44-1024*0.0545)*(-1)</f>
        <v>-61.891936999999984</v>
      </c>
      <c r="CK44" s="7">
        <f>CF44*(-1)-(Z44-1024-15.56)*1.031*(-1)</f>
        <v>-45.81228248047979</v>
      </c>
      <c r="CL44" s="7">
        <f>CG44*(-1)-(AA44-1024-15.56)*1.031*(-1)</f>
        <v>-44.433338692479936</v>
      </c>
    </row>
    <row r="45" spans="1:83" ht="16.5">
      <c r="A45" s="1">
        <v>39364</v>
      </c>
      <c r="V45" s="7"/>
      <c r="X45" s="2"/>
      <c r="Y45" s="2"/>
      <c r="Z45" s="9"/>
      <c r="AA45" s="9"/>
      <c r="AM45">
        <v>945</v>
      </c>
      <c r="AS45">
        <v>-945</v>
      </c>
      <c r="BA45" s="17">
        <v>-627.996</v>
      </c>
      <c r="BB45" s="17">
        <v>-631.496</v>
      </c>
      <c r="BC45" s="17">
        <v>1023.97</v>
      </c>
      <c r="BD45" s="17">
        <v>1025.75</v>
      </c>
      <c r="BF45">
        <v>323</v>
      </c>
      <c r="BG45" t="s">
        <v>156</v>
      </c>
      <c r="BH45" t="s">
        <v>158</v>
      </c>
      <c r="BI45">
        <v>1800</v>
      </c>
      <c r="BJ45" s="7">
        <f t="shared" si="37"/>
        <v>0</v>
      </c>
      <c r="BK45">
        <v>1800</v>
      </c>
      <c r="BL45" s="7">
        <f t="shared" si="38"/>
        <v>0</v>
      </c>
      <c r="BM45">
        <v>256</v>
      </c>
      <c r="BN45">
        <v>256</v>
      </c>
      <c r="BP45">
        <f t="shared" si="39"/>
        <v>-883.996</v>
      </c>
      <c r="BQ45">
        <f t="shared" si="40"/>
        <v>-887.496</v>
      </c>
      <c r="BS45">
        <f t="shared" si="41"/>
        <v>1023.97</v>
      </c>
      <c r="BT45">
        <f t="shared" si="42"/>
        <v>1025.75</v>
      </c>
      <c r="BV45" s="7">
        <f t="shared" si="43"/>
        <v>916.7747568515201</v>
      </c>
      <c r="BW45" s="7">
        <f t="shared" si="44"/>
        <v>918.5476368515201</v>
      </c>
      <c r="BY45">
        <f t="shared" si="46"/>
        <v>-883.996</v>
      </c>
      <c r="BZ45">
        <f t="shared" si="47"/>
        <v>-887.496</v>
      </c>
      <c r="CA45">
        <f t="shared" si="48"/>
        <v>916.7747568515201</v>
      </c>
      <c r="CB45">
        <f t="shared" si="49"/>
        <v>918.5476368515201</v>
      </c>
      <c r="CD45" s="7"/>
      <c r="CE45" s="7"/>
    </row>
    <row r="46" spans="1:90" ht="16.5">
      <c r="A46" s="1">
        <v>39376</v>
      </c>
      <c r="B46">
        <v>123.14089</v>
      </c>
      <c r="C46">
        <v>118.91467</v>
      </c>
      <c r="D46">
        <v>74.088737</v>
      </c>
      <c r="E46">
        <v>69.620638</v>
      </c>
      <c r="G46">
        <v>1984.4793</v>
      </c>
      <c r="H46">
        <v>1986.8612</v>
      </c>
      <c r="I46">
        <v>82.911549</v>
      </c>
      <c r="J46">
        <v>85.156814</v>
      </c>
      <c r="L46">
        <f t="shared" si="29"/>
        <v>123.14089</v>
      </c>
      <c r="M46">
        <f t="shared" si="30"/>
        <v>118.91467</v>
      </c>
      <c r="N46">
        <f t="shared" si="4"/>
        <v>74.088737</v>
      </c>
      <c r="O46">
        <f aca="true" t="shared" si="50" ref="O46:O55">E46+(AM46-945)</f>
        <v>69.620638</v>
      </c>
      <c r="Q46">
        <f t="shared" si="31"/>
        <v>1984.4793</v>
      </c>
      <c r="R46">
        <f t="shared" si="32"/>
        <v>1986.8612</v>
      </c>
      <c r="S46">
        <f aca="true" t="shared" si="51" ref="S46:S72">I46+(AS46+945)</f>
        <v>82.911549</v>
      </c>
      <c r="T46">
        <f t="shared" si="1"/>
        <v>85.156814</v>
      </c>
      <c r="V46" s="7">
        <v>963.81591</v>
      </c>
      <c r="X46" s="2">
        <f t="shared" si="33"/>
        <v>-889.727173</v>
      </c>
      <c r="Y46" s="2">
        <f t="shared" si="34"/>
        <v>-894.195272</v>
      </c>
      <c r="Z46" s="9">
        <f t="shared" si="35"/>
        <v>1046.727459</v>
      </c>
      <c r="AA46" s="9">
        <f t="shared" si="36"/>
        <v>1048.972724</v>
      </c>
      <c r="AC46">
        <f aca="true" t="shared" si="52" ref="AC46:AC70">1.56-((X46+Y46)/2-(-891.276))</f>
        <v>2.2452225000001227</v>
      </c>
      <c r="AD46">
        <f aca="true" t="shared" si="53" ref="AD46:AD102">11.16-((Z46+AA46)/2-1045.761)</f>
        <v>9.070908500000005</v>
      </c>
      <c r="AH46">
        <f t="shared" si="45"/>
        <v>-24.481930590000047</v>
      </c>
      <c r="AI46">
        <f t="shared" si="45"/>
        <v>-24.592796770000064</v>
      </c>
      <c r="AJ46">
        <f aca="true" t="shared" si="54" ref="AJ46:AK48">(Z46-2048*0.0545)-(Q46-1024-15.56)*1.031+2.5</f>
        <v>-36.60033929999997</v>
      </c>
      <c r="AK46">
        <f t="shared" si="54"/>
        <v>-36.8108132000001</v>
      </c>
      <c r="AM46">
        <v>945</v>
      </c>
      <c r="AN46">
        <v>-1030.8</v>
      </c>
      <c r="AO46">
        <v>83.3</v>
      </c>
      <c r="AP46">
        <v>-861.5</v>
      </c>
      <c r="AQ46">
        <v>-12.8</v>
      </c>
      <c r="AS46">
        <v>-945</v>
      </c>
      <c r="AT46">
        <v>-72</v>
      </c>
      <c r="AU46">
        <v>1015.7</v>
      </c>
      <c r="AV46">
        <v>93</v>
      </c>
      <c r="AW46">
        <v>921.7</v>
      </c>
      <c r="BA46" s="17">
        <v>-623.328</v>
      </c>
      <c r="BB46" s="17">
        <v>-627.703</v>
      </c>
      <c r="BC46" s="17">
        <v>1023.54</v>
      </c>
      <c r="BD46" s="17">
        <v>1025.86</v>
      </c>
      <c r="BF46">
        <v>324</v>
      </c>
      <c r="BG46" t="s">
        <v>41</v>
      </c>
      <c r="BH46" t="s">
        <v>158</v>
      </c>
      <c r="BI46">
        <v>1800</v>
      </c>
      <c r="BJ46" s="7">
        <f t="shared" si="37"/>
        <v>0</v>
      </c>
      <c r="BK46">
        <v>1800</v>
      </c>
      <c r="BL46" s="7">
        <f t="shared" si="38"/>
        <v>0</v>
      </c>
      <c r="BM46">
        <v>256</v>
      </c>
      <c r="BN46">
        <v>256</v>
      </c>
      <c r="BP46">
        <f t="shared" si="39"/>
        <v>-879.328</v>
      </c>
      <c r="BQ46">
        <f t="shared" si="40"/>
        <v>-883.703</v>
      </c>
      <c r="BS46">
        <f t="shared" si="41"/>
        <v>1023.54</v>
      </c>
      <c r="BT46">
        <f t="shared" si="42"/>
        <v>1025.86</v>
      </c>
      <c r="BV46" s="7">
        <f t="shared" si="43"/>
        <v>916.34647685152</v>
      </c>
      <c r="BW46" s="7">
        <f t="shared" si="44"/>
        <v>918.65719685152</v>
      </c>
      <c r="BY46">
        <f t="shared" si="46"/>
        <v>-879.328</v>
      </c>
      <c r="BZ46">
        <f t="shared" si="47"/>
        <v>-883.703</v>
      </c>
      <c r="CA46">
        <f t="shared" si="48"/>
        <v>916.34647685152</v>
      </c>
      <c r="CB46">
        <f t="shared" si="49"/>
        <v>918.65719685152</v>
      </c>
      <c r="CD46" s="7">
        <f aca="true" t="shared" si="55" ref="CD46:CE48">BY46*(-1)-(L46-1024+7.51)*1.031*(-1)</f>
        <v>-41.71493240999996</v>
      </c>
      <c r="CE46" s="7">
        <f t="shared" si="55"/>
        <v>-41.697165229999996</v>
      </c>
      <c r="CF46" s="7">
        <f aca="true" t="shared" si="56" ref="CF46:CG48">CA46*(-1)-(Q46-1024-15.56)*1.031*(-1)</f>
        <v>57.865321448479904</v>
      </c>
      <c r="CG46" s="7">
        <f t="shared" si="56"/>
        <v>58.0103403484801</v>
      </c>
      <c r="CI46" s="7">
        <f aca="true" t="shared" si="57" ref="CI46:CJ48">BY46*(-1)-(X46-1024*0.0545)*(-1)</f>
        <v>-66.20717300000001</v>
      </c>
      <c r="CJ46" s="7">
        <f t="shared" si="57"/>
        <v>-66.30027200000006</v>
      </c>
      <c r="CK46" s="7">
        <f aca="true" t="shared" si="58" ref="CK46:CL48">CF46*(-1)-(Z46-1024-15.56)*1.031*(-1)</f>
        <v>-50.47567121947995</v>
      </c>
      <c r="CL46" s="7">
        <f t="shared" si="58"/>
        <v>-48.305821904480126</v>
      </c>
    </row>
    <row r="47" spans="1:90" ht="16.5">
      <c r="A47" s="1">
        <v>39405</v>
      </c>
      <c r="B47">
        <v>125.044</v>
      </c>
      <c r="C47">
        <v>119.14157</v>
      </c>
      <c r="D47">
        <v>83.086033</v>
      </c>
      <c r="E47">
        <v>77.064613</v>
      </c>
      <c r="G47">
        <v>1983.1326</v>
      </c>
      <c r="H47">
        <v>1986.4123</v>
      </c>
      <c r="I47">
        <v>74.197835</v>
      </c>
      <c r="J47">
        <v>77.622195</v>
      </c>
      <c r="L47">
        <f t="shared" si="29"/>
        <v>125.044</v>
      </c>
      <c r="M47">
        <f t="shared" si="30"/>
        <v>119.14157</v>
      </c>
      <c r="N47">
        <f aca="true" t="shared" si="59" ref="N47:N70">D47+(AM47-945)</f>
        <v>83.086033</v>
      </c>
      <c r="O47">
        <f t="shared" si="50"/>
        <v>77.064613</v>
      </c>
      <c r="Q47">
        <f t="shared" si="31"/>
        <v>1983.1326</v>
      </c>
      <c r="R47">
        <f t="shared" si="32"/>
        <v>1986.4123</v>
      </c>
      <c r="S47">
        <f t="shared" si="51"/>
        <v>74.197835</v>
      </c>
      <c r="T47">
        <f t="shared" si="1"/>
        <v>77.622195</v>
      </c>
      <c r="V47" s="7">
        <v>970.87338</v>
      </c>
      <c r="X47" s="2">
        <f t="shared" si="33"/>
        <v>-887.787347</v>
      </c>
      <c r="Y47" s="2">
        <f t="shared" si="34"/>
        <v>-893.808767</v>
      </c>
      <c r="Z47" s="9">
        <f t="shared" si="35"/>
        <v>1045.071215</v>
      </c>
      <c r="AA47" s="9">
        <f t="shared" si="36"/>
        <v>1048.495575</v>
      </c>
      <c r="AC47">
        <f t="shared" si="52"/>
        <v>1.082057000000018</v>
      </c>
      <c r="AD47">
        <f t="shared" si="53"/>
        <v>10.13760500000004</v>
      </c>
      <c r="AH47">
        <f t="shared" si="45"/>
        <v>-24.504211000000055</v>
      </c>
      <c r="AI47">
        <f t="shared" si="45"/>
        <v>-24.440225670000018</v>
      </c>
      <c r="AJ47">
        <f t="shared" si="54"/>
        <v>-36.86813559999996</v>
      </c>
      <c r="AK47">
        <f t="shared" si="54"/>
        <v>-36.82514630000003</v>
      </c>
      <c r="AM47">
        <v>945</v>
      </c>
      <c r="AN47">
        <v>-1031.7</v>
      </c>
      <c r="AO47">
        <v>83.7</v>
      </c>
      <c r="AP47">
        <v>-860.7</v>
      </c>
      <c r="AQ47">
        <v>-13.4</v>
      </c>
      <c r="AS47">
        <v>-945</v>
      </c>
      <c r="AT47">
        <v>-72.7</v>
      </c>
      <c r="AU47">
        <v>1016</v>
      </c>
      <c r="AV47">
        <v>94</v>
      </c>
      <c r="AW47">
        <v>921.2</v>
      </c>
      <c r="BA47" s="17">
        <v>-621.226</v>
      </c>
      <c r="BB47" s="17">
        <v>-627.303</v>
      </c>
      <c r="BC47" s="17">
        <v>1017.72</v>
      </c>
      <c r="BD47" s="17">
        <v>1021.15</v>
      </c>
      <c r="BF47">
        <v>330</v>
      </c>
      <c r="BG47" t="s">
        <v>43</v>
      </c>
      <c r="BH47" t="s">
        <v>143</v>
      </c>
      <c r="BI47">
        <v>1800</v>
      </c>
      <c r="BJ47" s="7">
        <f t="shared" si="37"/>
        <v>0</v>
      </c>
      <c r="BK47">
        <v>1800</v>
      </c>
      <c r="BL47" s="7">
        <f t="shared" si="38"/>
        <v>0</v>
      </c>
      <c r="BM47">
        <v>256</v>
      </c>
      <c r="BN47">
        <v>256</v>
      </c>
      <c r="BP47">
        <f t="shared" si="39"/>
        <v>-877.226</v>
      </c>
      <c r="BQ47">
        <f t="shared" si="40"/>
        <v>-883.303</v>
      </c>
      <c r="BS47">
        <f t="shared" si="41"/>
        <v>1017.72</v>
      </c>
      <c r="BT47">
        <f t="shared" si="42"/>
        <v>1021.15</v>
      </c>
      <c r="BV47" s="7">
        <f t="shared" si="43"/>
        <v>910.5497568515201</v>
      </c>
      <c r="BW47" s="7">
        <f t="shared" si="44"/>
        <v>913.96603685152</v>
      </c>
      <c r="BY47">
        <f t="shared" si="46"/>
        <v>-877.226</v>
      </c>
      <c r="BZ47">
        <f t="shared" si="47"/>
        <v>-883.303</v>
      </c>
      <c r="CA47">
        <f t="shared" si="48"/>
        <v>910.5497568515201</v>
      </c>
      <c r="CB47">
        <f t="shared" si="49"/>
        <v>913.96603685152</v>
      </c>
      <c r="CD47" s="7">
        <f t="shared" si="55"/>
        <v>-41.854826</v>
      </c>
      <c r="CE47" s="7">
        <f t="shared" si="55"/>
        <v>-41.86323132999996</v>
      </c>
      <c r="CF47" s="7">
        <f t="shared" si="56"/>
        <v>62.27359374847981</v>
      </c>
      <c r="CG47" s="7">
        <f t="shared" si="56"/>
        <v>62.238684448479944</v>
      </c>
      <c r="CI47" s="7">
        <f t="shared" si="57"/>
        <v>-66.36934699999995</v>
      </c>
      <c r="CJ47" s="7">
        <f t="shared" si="57"/>
        <v>-66.31376699999998</v>
      </c>
      <c r="CK47" s="7">
        <f t="shared" si="58"/>
        <v>-56.59153108347988</v>
      </c>
      <c r="CL47" s="7">
        <f t="shared" si="58"/>
        <v>-53.02610662348003</v>
      </c>
    </row>
    <row r="48" spans="1:90" ht="16.5">
      <c r="A48" s="1">
        <v>39437</v>
      </c>
      <c r="B48">
        <v>126.15891</v>
      </c>
      <c r="C48">
        <v>118.71246</v>
      </c>
      <c r="D48">
        <v>88.008913</v>
      </c>
      <c r="E48">
        <v>80.304058</v>
      </c>
      <c r="G48" s="15">
        <v>1982.198</v>
      </c>
      <c r="H48" s="15">
        <v>1986.3023</v>
      </c>
      <c r="I48">
        <v>68.184776</v>
      </c>
      <c r="J48">
        <v>72.470729</v>
      </c>
      <c r="L48">
        <f t="shared" si="29"/>
        <v>126.15891</v>
      </c>
      <c r="M48">
        <f t="shared" si="30"/>
        <v>118.71246</v>
      </c>
      <c r="N48">
        <f t="shared" si="59"/>
        <v>88.008913</v>
      </c>
      <c r="O48">
        <f t="shared" si="50"/>
        <v>80.304058</v>
      </c>
      <c r="Q48">
        <f t="shared" si="31"/>
        <v>1982.198</v>
      </c>
      <c r="R48">
        <f t="shared" si="32"/>
        <v>1986.3023</v>
      </c>
      <c r="S48">
        <f t="shared" si="51"/>
        <v>68.184776</v>
      </c>
      <c r="T48">
        <f t="shared" si="1"/>
        <v>72.470729</v>
      </c>
      <c r="V48" s="7">
        <v>975.43294</v>
      </c>
      <c r="X48" s="2">
        <f t="shared" si="33"/>
        <v>-887.424027</v>
      </c>
      <c r="Y48" s="2">
        <f t="shared" si="34"/>
        <v>-895.128882</v>
      </c>
      <c r="Z48" s="9">
        <f t="shared" si="35"/>
        <v>1043.617716</v>
      </c>
      <c r="AA48" s="9">
        <f t="shared" si="36"/>
        <v>1047.903669</v>
      </c>
      <c r="AC48" s="16">
        <f t="shared" si="52"/>
        <v>1.5604545000000463</v>
      </c>
      <c r="AD48" s="16">
        <f t="shared" si="53"/>
        <v>11.160307499999963</v>
      </c>
      <c r="AH48">
        <f t="shared" si="45"/>
        <v>-25.290363210000123</v>
      </c>
      <c r="AI48">
        <f t="shared" si="45"/>
        <v>-25.31792826000003</v>
      </c>
      <c r="AJ48">
        <f t="shared" si="54"/>
        <v>-37.35806200000013</v>
      </c>
      <c r="AK48">
        <f t="shared" si="54"/>
        <v>-37.30364229999998</v>
      </c>
      <c r="AM48">
        <v>945</v>
      </c>
      <c r="AN48">
        <v>-1032.7</v>
      </c>
      <c r="AO48">
        <v>83.9</v>
      </c>
      <c r="AP48">
        <v>-860</v>
      </c>
      <c r="AQ48">
        <v>-13.9</v>
      </c>
      <c r="AS48">
        <v>-945</v>
      </c>
      <c r="AT48">
        <v>-74.5</v>
      </c>
      <c r="AU48">
        <v>1016.3</v>
      </c>
      <c r="AV48">
        <v>94.2</v>
      </c>
      <c r="AW48">
        <v>920.8</v>
      </c>
      <c r="AY48" t="s">
        <v>78</v>
      </c>
      <c r="BA48" s="17">
        <v>-621.395</v>
      </c>
      <c r="BB48" s="17">
        <v>-629.133</v>
      </c>
      <c r="BC48" s="17">
        <v>1028.83</v>
      </c>
      <c r="BD48" s="17">
        <v>1033.05</v>
      </c>
      <c r="BF48">
        <v>332</v>
      </c>
      <c r="BG48" t="s">
        <v>144</v>
      </c>
      <c r="BH48" t="s">
        <v>158</v>
      </c>
      <c r="BI48">
        <v>1800</v>
      </c>
      <c r="BJ48" s="7">
        <f t="shared" si="37"/>
        <v>0</v>
      </c>
      <c r="BK48">
        <v>1800</v>
      </c>
      <c r="BL48" s="7">
        <f t="shared" si="38"/>
        <v>0</v>
      </c>
      <c r="BM48">
        <v>256</v>
      </c>
      <c r="BN48">
        <v>256</v>
      </c>
      <c r="BP48">
        <f t="shared" si="39"/>
        <v>-877.395</v>
      </c>
      <c r="BQ48">
        <f t="shared" si="40"/>
        <v>-885.133</v>
      </c>
      <c r="BS48">
        <f t="shared" si="41"/>
        <v>1028.83</v>
      </c>
      <c r="BT48">
        <f t="shared" si="42"/>
        <v>1033.05</v>
      </c>
      <c r="BV48" s="7">
        <f t="shared" si="43"/>
        <v>921.61531685152</v>
      </c>
      <c r="BW48" s="7">
        <f t="shared" si="44"/>
        <v>925.8184368515201</v>
      </c>
      <c r="BY48">
        <f t="shared" si="46"/>
        <v>-877.395</v>
      </c>
      <c r="BZ48">
        <f t="shared" si="47"/>
        <v>-885.133</v>
      </c>
      <c r="CA48">
        <f t="shared" si="48"/>
        <v>921.61531685152</v>
      </c>
      <c r="CB48">
        <f t="shared" si="49"/>
        <v>925.8184368515201</v>
      </c>
      <c r="CD48" s="7">
        <f t="shared" si="55"/>
        <v>-40.53635378999991</v>
      </c>
      <c r="CE48" s="7">
        <f t="shared" si="55"/>
        <v>-40.475643739999896</v>
      </c>
      <c r="CF48" s="7">
        <f t="shared" si="56"/>
        <v>50.24446114848013</v>
      </c>
      <c r="CG48" s="7">
        <f t="shared" si="56"/>
        <v>50.27287444847991</v>
      </c>
      <c r="CI48" s="7">
        <f t="shared" si="57"/>
        <v>-65.83702700000003</v>
      </c>
      <c r="CJ48" s="7">
        <f t="shared" si="57"/>
        <v>-65.80388199999993</v>
      </c>
      <c r="CK48" s="7">
        <f t="shared" si="58"/>
        <v>-46.06095595248016</v>
      </c>
      <c r="CL48" s="7">
        <f t="shared" si="58"/>
        <v>-41.670551709479874</v>
      </c>
    </row>
    <row r="49" spans="1:83" ht="16.5">
      <c r="A49" s="1">
        <v>39476</v>
      </c>
      <c r="B49" t="s">
        <v>77</v>
      </c>
      <c r="C49" t="s">
        <v>77</v>
      </c>
      <c r="D49">
        <v>87.0671</v>
      </c>
      <c r="E49">
        <v>78.061059</v>
      </c>
      <c r="G49" t="s">
        <v>77</v>
      </c>
      <c r="H49" t="s">
        <v>77</v>
      </c>
      <c r="I49">
        <v>69.461843</v>
      </c>
      <c r="J49">
        <v>73.453895</v>
      </c>
      <c r="L49" t="str">
        <f t="shared" si="29"/>
        <v>No</v>
      </c>
      <c r="M49" t="str">
        <f t="shared" si="30"/>
        <v>No</v>
      </c>
      <c r="N49">
        <f t="shared" si="59"/>
        <v>87.0671</v>
      </c>
      <c r="O49">
        <f t="shared" si="50"/>
        <v>78.061059</v>
      </c>
      <c r="Q49" t="str">
        <f t="shared" si="31"/>
        <v>No</v>
      </c>
      <c r="R49" t="str">
        <f t="shared" si="32"/>
        <v>No</v>
      </c>
      <c r="S49">
        <f t="shared" si="51"/>
        <v>69.461843</v>
      </c>
      <c r="T49">
        <f t="shared" si="1"/>
        <v>73.453895</v>
      </c>
      <c r="V49" s="7">
        <v>974.38768</v>
      </c>
      <c r="X49" s="2">
        <f t="shared" si="33"/>
        <v>-887.3205800000001</v>
      </c>
      <c r="Y49" s="2">
        <f t="shared" si="34"/>
        <v>-896.326621</v>
      </c>
      <c r="Z49" s="9">
        <f t="shared" si="35"/>
        <v>1043.849523</v>
      </c>
      <c r="AA49" s="9">
        <f t="shared" si="36"/>
        <v>1047.8415750000001</v>
      </c>
      <c r="AC49">
        <f t="shared" si="52"/>
        <v>2.107600500000158</v>
      </c>
      <c r="AD49">
        <f t="shared" si="53"/>
        <v>11.075450999999848</v>
      </c>
      <c r="AM49">
        <v>945</v>
      </c>
      <c r="AN49">
        <v>-1033.9</v>
      </c>
      <c r="AO49">
        <v>84</v>
      </c>
      <c r="AP49">
        <v>-860.1</v>
      </c>
      <c r="AQ49">
        <v>-14.3</v>
      </c>
      <c r="AS49">
        <v>-945</v>
      </c>
      <c r="AT49">
        <v>-74.8</v>
      </c>
      <c r="AU49">
        <v>1016.5</v>
      </c>
      <c r="AV49">
        <v>94.4</v>
      </c>
      <c r="AW49">
        <v>920.8</v>
      </c>
      <c r="BA49" s="17">
        <v>-623.024</v>
      </c>
      <c r="BB49" s="17">
        <v>-632.022</v>
      </c>
      <c r="BC49" s="17">
        <v>1033.29</v>
      </c>
      <c r="BD49" s="17">
        <v>1037.36</v>
      </c>
      <c r="BF49">
        <v>328</v>
      </c>
      <c r="BG49" t="s">
        <v>145</v>
      </c>
      <c r="BH49" t="s">
        <v>158</v>
      </c>
      <c r="BI49">
        <v>1800</v>
      </c>
      <c r="BJ49" s="7">
        <f t="shared" si="37"/>
        <v>0</v>
      </c>
      <c r="BK49">
        <v>1800</v>
      </c>
      <c r="BL49" s="7">
        <f t="shared" si="38"/>
        <v>0</v>
      </c>
      <c r="BM49">
        <v>256</v>
      </c>
      <c r="BN49">
        <v>256</v>
      </c>
      <c r="BP49">
        <f t="shared" si="39"/>
        <v>-879.024</v>
      </c>
      <c r="BQ49">
        <f t="shared" si="40"/>
        <v>-888.022</v>
      </c>
      <c r="BS49">
        <f t="shared" si="41"/>
        <v>1033.29</v>
      </c>
      <c r="BT49">
        <f t="shared" si="42"/>
        <v>1037.36</v>
      </c>
      <c r="BV49" s="7">
        <f t="shared" si="43"/>
        <v>926.05747685152</v>
      </c>
      <c r="BW49" s="7">
        <f t="shared" si="44"/>
        <v>930.11119685152</v>
      </c>
      <c r="BY49">
        <f t="shared" si="46"/>
        <v>-879.024</v>
      </c>
      <c r="BZ49">
        <f t="shared" si="47"/>
        <v>-888.022</v>
      </c>
      <c r="CA49">
        <f t="shared" si="48"/>
        <v>926.05747685152</v>
      </c>
      <c r="CB49">
        <f t="shared" si="49"/>
        <v>930.11119685152</v>
      </c>
      <c r="CD49" s="7"/>
      <c r="CE49" s="7"/>
    </row>
    <row r="50" spans="1:90" ht="16.5">
      <c r="A50" s="11">
        <v>39528</v>
      </c>
      <c r="B50">
        <v>124.17454</v>
      </c>
      <c r="C50">
        <v>115.8767</v>
      </c>
      <c r="D50">
        <v>71.614878</v>
      </c>
      <c r="E50">
        <v>63.160247</v>
      </c>
      <c r="G50">
        <v>1981.6442</v>
      </c>
      <c r="H50">
        <v>1984.6111</v>
      </c>
      <c r="I50">
        <v>81.611373</v>
      </c>
      <c r="J50">
        <v>84.671309</v>
      </c>
      <c r="L50">
        <f t="shared" si="29"/>
        <v>124.17454</v>
      </c>
      <c r="M50">
        <f t="shared" si="30"/>
        <v>115.8767</v>
      </c>
      <c r="N50">
        <f t="shared" si="59"/>
        <v>71.614878</v>
      </c>
      <c r="O50">
        <f t="shared" si="50"/>
        <v>63.160247</v>
      </c>
      <c r="Q50">
        <f t="shared" si="31"/>
        <v>1981.6442</v>
      </c>
      <c r="R50">
        <f t="shared" si="32"/>
        <v>1984.6111</v>
      </c>
      <c r="S50">
        <f t="shared" si="51"/>
        <v>81.611373</v>
      </c>
      <c r="T50">
        <f aca="true" t="shared" si="60" ref="T50:T55">J50+(AS50+945)</f>
        <v>84.671309</v>
      </c>
      <c r="V50" s="7">
        <v>963.32208</v>
      </c>
      <c r="X50" s="2">
        <f t="shared" si="33"/>
        <v>-891.707202</v>
      </c>
      <c r="Y50" s="2">
        <f t="shared" si="34"/>
        <v>-900.161833</v>
      </c>
      <c r="Z50" s="9">
        <f t="shared" si="35"/>
        <v>1044.933453</v>
      </c>
      <c r="AA50" s="9">
        <f t="shared" si="36"/>
        <v>1047.993389</v>
      </c>
      <c r="AC50">
        <f t="shared" si="52"/>
        <v>6.2185175000001305</v>
      </c>
      <c r="AD50">
        <f t="shared" si="53"/>
        <v>10.457579000000042</v>
      </c>
      <c r="AH50">
        <f aca="true" t="shared" si="61" ref="AH50:AH70">(X50-1024*0.0545)-(L50-1024+7.5)*1.031</f>
        <v>-27.52765274000012</v>
      </c>
      <c r="AI50">
        <f aca="true" t="shared" si="62" ref="AI50:AI70">(Y50-1024*0.0545)-(M50-1024+7.5)*1.031</f>
        <v>-27.427210700000046</v>
      </c>
      <c r="AJ50">
        <f aca="true" t="shared" si="63" ref="AJ50:AJ65">(Z50-2048*0.0545)-(Q50-1024-15.56)*1.031+2.5</f>
        <v>-35.47135719999983</v>
      </c>
      <c r="AK50">
        <f aca="true" t="shared" si="64" ref="AK50:AK65">(AA50-2048*0.0545)-(R50-1024-15.56)*1.031+2.5</f>
        <v>-35.470295100000044</v>
      </c>
      <c r="AM50">
        <v>945</v>
      </c>
      <c r="AN50">
        <v>-1034.3</v>
      </c>
      <c r="AO50">
        <v>83.7</v>
      </c>
      <c r="AP50">
        <v>-860.5</v>
      </c>
      <c r="AQ50">
        <v>-13.4</v>
      </c>
      <c r="AS50">
        <v>-945</v>
      </c>
      <c r="AT50">
        <v>-75</v>
      </c>
      <c r="AU50">
        <v>1015.8</v>
      </c>
      <c r="AV50">
        <v>94.2</v>
      </c>
      <c r="AW50">
        <v>921.2</v>
      </c>
      <c r="BA50" s="17">
        <v>-635.711</v>
      </c>
      <c r="BB50" s="17">
        <v>-644.212</v>
      </c>
      <c r="BC50" s="17">
        <v>1035.71</v>
      </c>
      <c r="BD50" s="17">
        <v>1038.75</v>
      </c>
      <c r="BF50">
        <v>338</v>
      </c>
      <c r="BG50" t="s">
        <v>154</v>
      </c>
      <c r="BH50" t="s">
        <v>58</v>
      </c>
      <c r="BI50">
        <v>1800</v>
      </c>
      <c r="BJ50" s="7">
        <f t="shared" si="37"/>
        <v>0</v>
      </c>
      <c r="BK50">
        <v>1800</v>
      </c>
      <c r="BL50" s="7">
        <f t="shared" si="38"/>
        <v>0</v>
      </c>
      <c r="BM50">
        <v>256</v>
      </c>
      <c r="BN50">
        <v>256</v>
      </c>
      <c r="BP50">
        <f t="shared" si="39"/>
        <v>-891.711</v>
      </c>
      <c r="BQ50">
        <f t="shared" si="40"/>
        <v>-900.212</v>
      </c>
      <c r="BS50">
        <f t="shared" si="41"/>
        <v>1035.71</v>
      </c>
      <c r="BT50">
        <f t="shared" si="42"/>
        <v>1038.75</v>
      </c>
      <c r="BV50" s="7">
        <f t="shared" si="43"/>
        <v>928.4677968515201</v>
      </c>
      <c r="BW50" s="7">
        <f t="shared" si="44"/>
        <v>931.4956368515201</v>
      </c>
      <c r="BY50">
        <f t="shared" si="46"/>
        <v>-891.711</v>
      </c>
      <c r="BZ50">
        <f t="shared" si="47"/>
        <v>-900.212</v>
      </c>
      <c r="CA50">
        <f t="shared" si="48"/>
        <v>928.4677968515201</v>
      </c>
      <c r="CB50">
        <f t="shared" si="49"/>
        <v>931.4956368515201</v>
      </c>
      <c r="CD50" s="7">
        <f>BY50*(-1)-(L50-1024+7.51)*1.031*(-1)</f>
        <v>-28.266239259999907</v>
      </c>
      <c r="CE50" s="7">
        <f>BZ50*(-1)-(M50-1024+7.51)*1.031*(-1)</f>
        <v>-28.320312299999955</v>
      </c>
      <c r="CF50" s="7">
        <f>CA50*(-1)-(Q50-1024-15.56)*1.031*(-1)</f>
        <v>42.82101334847982</v>
      </c>
      <c r="CG50" s="7">
        <f>CB50*(-1)-(R50-1024-15.56)*1.031*(-1)</f>
        <v>42.85204724847995</v>
      </c>
      <c r="CI50" s="7">
        <f>BY50*(-1)-(X50-1024*0.0545)*(-1)</f>
        <v>-55.80420200000003</v>
      </c>
      <c r="CJ50" s="7">
        <f>BZ50*(-1)-(Y50-1024*0.0545)*(-1)</f>
        <v>-55.757833000000005</v>
      </c>
      <c r="CK50" s="7">
        <f>CF50*(-1)-(Z50-1024-15.56)*1.031*(-1)</f>
        <v>-37.28098330547972</v>
      </c>
      <c r="CL50" s="7">
        <f>CG50*(-1)-(AA50-1024-15.56)*1.031*(-1)</f>
        <v>-34.15722318947997</v>
      </c>
    </row>
    <row r="51" spans="1:90" ht="16.5">
      <c r="A51" s="1">
        <v>39548</v>
      </c>
      <c r="B51">
        <v>122.17736</v>
      </c>
      <c r="C51">
        <v>115.47246</v>
      </c>
      <c r="D51">
        <v>64.300585</v>
      </c>
      <c r="E51">
        <v>56.709265</v>
      </c>
      <c r="G51">
        <v>1982.7044</v>
      </c>
      <c r="H51">
        <v>1984.9661</v>
      </c>
      <c r="I51">
        <v>87.636038</v>
      </c>
      <c r="J51">
        <v>90.00397</v>
      </c>
      <c r="L51">
        <f t="shared" si="29"/>
        <v>122.17736</v>
      </c>
      <c r="M51">
        <f t="shared" si="30"/>
        <v>115.47246</v>
      </c>
      <c r="N51">
        <f t="shared" si="59"/>
        <v>64.300585</v>
      </c>
      <c r="O51">
        <f t="shared" si="50"/>
        <v>56.709265</v>
      </c>
      <c r="Q51">
        <f t="shared" si="31"/>
        <v>1982.7044</v>
      </c>
      <c r="R51">
        <f t="shared" si="32"/>
        <v>1984.9661</v>
      </c>
      <c r="S51">
        <f t="shared" si="51"/>
        <v>87.636038</v>
      </c>
      <c r="T51">
        <f t="shared" si="60"/>
        <v>90.00397</v>
      </c>
      <c r="V51" s="7">
        <v>957.8274</v>
      </c>
      <c r="X51" s="2">
        <f t="shared" si="33"/>
        <v>-893.526815</v>
      </c>
      <c r="Y51" s="2">
        <f t="shared" si="34"/>
        <v>-901.118135</v>
      </c>
      <c r="Z51" s="2">
        <f t="shared" si="35"/>
        <v>1045.463438</v>
      </c>
      <c r="AA51" s="2">
        <f t="shared" si="36"/>
        <v>1047.83137</v>
      </c>
      <c r="AC51">
        <f t="shared" si="52"/>
        <v>7.606475000000101</v>
      </c>
      <c r="AD51">
        <f t="shared" si="53"/>
        <v>10.273595999999916</v>
      </c>
      <c r="AH51">
        <f t="shared" si="61"/>
        <v>-27.288173160000156</v>
      </c>
      <c r="AI51">
        <f t="shared" si="62"/>
        <v>-27.96674126000005</v>
      </c>
      <c r="AJ51">
        <f t="shared" si="63"/>
        <v>-36.0344384</v>
      </c>
      <c r="AK51">
        <f t="shared" si="64"/>
        <v>-35.9983191</v>
      </c>
      <c r="AM51">
        <v>945</v>
      </c>
      <c r="AN51">
        <v>-1033.2</v>
      </c>
      <c r="AO51">
        <v>83.3</v>
      </c>
      <c r="AP51">
        <v>-860.6</v>
      </c>
      <c r="AQ51">
        <v>-13.3</v>
      </c>
      <c r="AS51">
        <v>-945</v>
      </c>
      <c r="AT51">
        <v>-74.3</v>
      </c>
      <c r="AU51">
        <v>1015.4</v>
      </c>
      <c r="AV51">
        <v>93.9</v>
      </c>
      <c r="AW51">
        <v>921.4</v>
      </c>
      <c r="BA51" s="17">
        <v>-632.384</v>
      </c>
      <c r="BB51" s="17">
        <v>-639.887</v>
      </c>
      <c r="BC51" s="17">
        <v>1034.63</v>
      </c>
      <c r="BD51" s="17">
        <v>1037.14</v>
      </c>
      <c r="BF51">
        <v>316</v>
      </c>
      <c r="BG51" t="s">
        <v>154</v>
      </c>
      <c r="BH51" t="s">
        <v>153</v>
      </c>
      <c r="BI51">
        <v>1800</v>
      </c>
      <c r="BJ51" s="7">
        <f t="shared" si="37"/>
        <v>0</v>
      </c>
      <c r="BK51">
        <v>1800</v>
      </c>
      <c r="BL51" s="7">
        <f t="shared" si="38"/>
        <v>0</v>
      </c>
      <c r="BM51">
        <v>256</v>
      </c>
      <c r="BN51">
        <v>256</v>
      </c>
      <c r="BP51">
        <f t="shared" si="39"/>
        <v>-888.384</v>
      </c>
      <c r="BQ51">
        <f t="shared" si="40"/>
        <v>-895.887</v>
      </c>
      <c r="BS51">
        <f t="shared" si="41"/>
        <v>1034.63</v>
      </c>
      <c r="BT51">
        <f t="shared" si="42"/>
        <v>1037.14</v>
      </c>
      <c r="BV51" s="7">
        <f t="shared" si="43"/>
        <v>927.3921168515202</v>
      </c>
      <c r="BW51" s="7">
        <f t="shared" si="44"/>
        <v>929.8920768515202</v>
      </c>
      <c r="BY51">
        <f t="shared" si="46"/>
        <v>-888.384</v>
      </c>
      <c r="BZ51">
        <f t="shared" si="47"/>
        <v>-895.887</v>
      </c>
      <c r="CA51">
        <f t="shared" si="48"/>
        <v>927.3921168515202</v>
      </c>
      <c r="CB51">
        <f t="shared" si="49"/>
        <v>929.8920768515202</v>
      </c>
      <c r="CD51" s="7">
        <f>BY51*(-1)-(L51-1024+7.51)*1.031*(-1)</f>
        <v>-33.652331839999874</v>
      </c>
      <c r="CE51" s="7">
        <f>BZ51*(-1)-(M51-1024+7.51)*1.031*(-1)</f>
        <v>-33.06208374000005</v>
      </c>
      <c r="CF51" s="7">
        <f>CA51*(-1)-(Q51-1024-15.56)*1.031*(-1)</f>
        <v>44.98975954847981</v>
      </c>
      <c r="CG51" s="7">
        <f>CB51*(-1)-(R51-1024-15.56)*1.031*(-1)</f>
        <v>44.82161224847994</v>
      </c>
      <c r="CI51" s="7">
        <f>BY51*(-1)-(X51-1024*0.0545)*(-1)</f>
        <v>-60.950815000000034</v>
      </c>
      <c r="CJ51" s="7">
        <f>BZ51*(-1)-(Y51-1024*0.0545)*(-1)</f>
        <v>-61.0391350000001</v>
      </c>
      <c r="CK51" s="7">
        <f>CF51*(-1)-(Z51-1024-15.56)*1.031*(-1)</f>
        <v>-38.90331497047981</v>
      </c>
      <c r="CL51" s="7">
        <f>CG51*(-1)-(AA51-1024-15.56)*1.031*(-1)</f>
        <v>-36.29382977847983</v>
      </c>
    </row>
    <row r="52" spans="1:75" ht="16.5">
      <c r="A52" s="1">
        <v>39569</v>
      </c>
      <c r="B52">
        <v>121.67075</v>
      </c>
      <c r="C52">
        <v>114.51445</v>
      </c>
      <c r="D52">
        <v>58.559119</v>
      </c>
      <c r="E52">
        <v>51.002167</v>
      </c>
      <c r="G52">
        <v>1983.6628</v>
      </c>
      <c r="H52">
        <v>1985.6687</v>
      </c>
      <c r="I52">
        <v>93.202894</v>
      </c>
      <c r="J52">
        <v>95.184131</v>
      </c>
      <c r="L52">
        <f t="shared" si="29"/>
        <v>121.67075</v>
      </c>
      <c r="M52">
        <f t="shared" si="30"/>
        <v>114.51445</v>
      </c>
      <c r="N52">
        <f t="shared" si="59"/>
        <v>58.559119</v>
      </c>
      <c r="O52">
        <f t="shared" si="50"/>
        <v>51.002167</v>
      </c>
      <c r="Q52">
        <f t="shared" si="31"/>
        <v>1983.6628</v>
      </c>
      <c r="R52">
        <f t="shared" si="32"/>
        <v>1985.6687</v>
      </c>
      <c r="S52">
        <f t="shared" si="51"/>
        <v>93.202894</v>
      </c>
      <c r="T52">
        <f t="shared" si="60"/>
        <v>95.184131</v>
      </c>
      <c r="V52" s="7">
        <v>952.39025</v>
      </c>
      <c r="X52" s="2">
        <f t="shared" si="33"/>
        <v>-893.831131</v>
      </c>
      <c r="Y52" s="2">
        <f t="shared" si="34"/>
        <v>-901.388083</v>
      </c>
      <c r="Z52" s="2">
        <f t="shared" si="35"/>
        <v>1045.593144</v>
      </c>
      <c r="AA52" s="2">
        <f t="shared" si="36"/>
        <v>1047.5743810000001</v>
      </c>
      <c r="AC52">
        <f t="shared" si="52"/>
        <v>7.893607000000143</v>
      </c>
      <c r="AD52">
        <f t="shared" si="53"/>
        <v>10.337237500000047</v>
      </c>
      <c r="AH52">
        <f t="shared" si="61"/>
        <v>-27.070174250000036</v>
      </c>
      <c r="AI52">
        <f t="shared" si="62"/>
        <v>-27.248980950000146</v>
      </c>
      <c r="AJ52">
        <f t="shared" si="63"/>
        <v>-36.89284280000004</v>
      </c>
      <c r="AK52">
        <f t="shared" si="64"/>
        <v>-36.97968869999977</v>
      </c>
      <c r="AM52">
        <v>945</v>
      </c>
      <c r="AN52">
        <v>-1033.3</v>
      </c>
      <c r="AO52">
        <v>83.8</v>
      </c>
      <c r="AP52">
        <v>-860.6</v>
      </c>
      <c r="AQ52">
        <v>-13.4</v>
      </c>
      <c r="AS52">
        <v>-945</v>
      </c>
      <c r="AT52">
        <v>-74</v>
      </c>
      <c r="AU52">
        <v>1015.2</v>
      </c>
      <c r="AV52">
        <v>93.8</v>
      </c>
      <c r="AW52">
        <v>921.7</v>
      </c>
      <c r="BV52" s="7"/>
      <c r="BW52" s="7"/>
    </row>
    <row r="53" spans="1:75" ht="16.5">
      <c r="A53" s="1">
        <v>39574</v>
      </c>
      <c r="B53">
        <v>121.0253</v>
      </c>
      <c r="C53">
        <v>113.76493</v>
      </c>
      <c r="D53">
        <v>56.856588</v>
      </c>
      <c r="E53">
        <v>49.483502</v>
      </c>
      <c r="G53">
        <v>1983.5038</v>
      </c>
      <c r="H53">
        <v>1985.0842</v>
      </c>
      <c r="I53">
        <v>94.564764</v>
      </c>
      <c r="J53">
        <v>96.503582</v>
      </c>
      <c r="L53">
        <f t="shared" si="29"/>
        <v>121.0253</v>
      </c>
      <c r="M53">
        <f t="shared" si="30"/>
        <v>113.76493</v>
      </c>
      <c r="N53">
        <f t="shared" si="59"/>
        <v>56.856588</v>
      </c>
      <c r="O53">
        <f t="shared" si="50"/>
        <v>49.483502</v>
      </c>
      <c r="Q53">
        <f t="shared" si="31"/>
        <v>1983.5038</v>
      </c>
      <c r="R53">
        <f t="shared" si="32"/>
        <v>1985.0842</v>
      </c>
      <c r="S53">
        <f t="shared" si="51"/>
        <v>94.564764</v>
      </c>
      <c r="T53">
        <f t="shared" si="60"/>
        <v>96.503582</v>
      </c>
      <c r="V53" s="7">
        <v>951.21977</v>
      </c>
      <c r="X53" s="2">
        <f t="shared" si="33"/>
        <v>-894.363182</v>
      </c>
      <c r="Y53" s="2">
        <f t="shared" si="34"/>
        <v>-901.736268</v>
      </c>
      <c r="Z53" s="2">
        <f t="shared" si="35"/>
        <v>1045.7845340000001</v>
      </c>
      <c r="AA53" s="2">
        <f t="shared" si="36"/>
        <v>1047.723352</v>
      </c>
      <c r="AC53">
        <f t="shared" si="52"/>
        <v>8.333725000000127</v>
      </c>
      <c r="AD53">
        <f t="shared" si="53"/>
        <v>10.167056999999804</v>
      </c>
      <c r="AH53">
        <f t="shared" si="61"/>
        <v>-26.93676630000016</v>
      </c>
      <c r="AI53">
        <f t="shared" si="62"/>
        <v>-26.824410830000147</v>
      </c>
      <c r="AJ53">
        <f t="shared" si="63"/>
        <v>-36.5375237999998</v>
      </c>
      <c r="AK53">
        <f t="shared" si="64"/>
        <v>-36.22809819999998</v>
      </c>
      <c r="AM53">
        <v>945</v>
      </c>
      <c r="AN53">
        <v>-1033.2</v>
      </c>
      <c r="AO53">
        <v>82.8</v>
      </c>
      <c r="AP53">
        <v>-860.8</v>
      </c>
      <c r="AQ53">
        <v>-13.1</v>
      </c>
      <c r="AS53">
        <v>-945</v>
      </c>
      <c r="AT53">
        <v>-74.1</v>
      </c>
      <c r="AU53">
        <v>1014.9</v>
      </c>
      <c r="AV53">
        <v>93.8</v>
      </c>
      <c r="AW53">
        <v>921.7</v>
      </c>
      <c r="AY53" t="s">
        <v>76</v>
      </c>
      <c r="BV53" s="7"/>
      <c r="BW53" s="7"/>
    </row>
    <row r="54" spans="1:75" ht="16.5">
      <c r="A54" s="1">
        <v>39576</v>
      </c>
      <c r="B54">
        <v>117.89709</v>
      </c>
      <c r="C54">
        <v>113.03601</v>
      </c>
      <c r="D54">
        <v>53.031057</v>
      </c>
      <c r="E54">
        <v>48.056526</v>
      </c>
      <c r="G54">
        <v>1984.7276</v>
      </c>
      <c r="H54">
        <v>1984.7191</v>
      </c>
      <c r="I54">
        <v>96.667443</v>
      </c>
      <c r="J54">
        <v>96.828093</v>
      </c>
      <c r="L54">
        <f t="shared" si="29"/>
        <v>117.89709</v>
      </c>
      <c r="M54">
        <f t="shared" si="30"/>
        <v>113.03601</v>
      </c>
      <c r="N54">
        <f t="shared" si="59"/>
        <v>53.031057</v>
      </c>
      <c r="O54">
        <f t="shared" si="50"/>
        <v>48.056526</v>
      </c>
      <c r="Q54">
        <f t="shared" si="31"/>
        <v>1984.7276</v>
      </c>
      <c r="R54">
        <f t="shared" si="32"/>
        <v>1984.7191</v>
      </c>
      <c r="S54">
        <f t="shared" si="51"/>
        <v>96.667443</v>
      </c>
      <c r="T54">
        <f t="shared" si="60"/>
        <v>96.828093</v>
      </c>
      <c r="V54" s="7">
        <v>950.76926</v>
      </c>
      <c r="X54" s="2">
        <f t="shared" si="33"/>
        <v>-897.738203</v>
      </c>
      <c r="Y54" s="2">
        <f t="shared" si="34"/>
        <v>-902.7127340000001</v>
      </c>
      <c r="Z54" s="2">
        <f t="shared" si="35"/>
        <v>1047.436703</v>
      </c>
      <c r="AA54" s="2">
        <f t="shared" si="36"/>
        <v>1047.597353</v>
      </c>
      <c r="AC54">
        <f t="shared" si="52"/>
        <v>10.50946850000008</v>
      </c>
      <c r="AD54">
        <f t="shared" si="53"/>
        <v>9.403971999999758</v>
      </c>
      <c r="AH54">
        <f t="shared" si="61"/>
        <v>-27.086602790000143</v>
      </c>
      <c r="AI54">
        <f t="shared" si="62"/>
        <v>-27.049360310000225</v>
      </c>
      <c r="AJ54">
        <f t="shared" si="63"/>
        <v>-36.14709259999984</v>
      </c>
      <c r="AK54">
        <f t="shared" si="64"/>
        <v>-35.97767909999993</v>
      </c>
      <c r="AM54">
        <v>945</v>
      </c>
      <c r="AN54">
        <v>-1031.6</v>
      </c>
      <c r="AO54">
        <v>81.8</v>
      </c>
      <c r="AP54">
        <v>-861.7</v>
      </c>
      <c r="AQ54">
        <v>-12.8</v>
      </c>
      <c r="AS54">
        <v>-945</v>
      </c>
      <c r="AT54">
        <v>-72.8</v>
      </c>
      <c r="AU54">
        <v>1014.2</v>
      </c>
      <c r="AV54">
        <v>92.4</v>
      </c>
      <c r="AW54">
        <v>922.6</v>
      </c>
      <c r="AY54" t="s">
        <v>76</v>
      </c>
      <c r="BV54" s="7"/>
      <c r="BW54" s="7"/>
    </row>
    <row r="55" spans="1:75" ht="16.5">
      <c r="A55" s="1">
        <v>39579</v>
      </c>
      <c r="B55" s="13">
        <v>110.34379</v>
      </c>
      <c r="C55" s="13">
        <v>110.16655</v>
      </c>
      <c r="D55" s="13">
        <v>45.351401</v>
      </c>
      <c r="E55" s="13">
        <v>44.838179</v>
      </c>
      <c r="F55" s="13"/>
      <c r="G55" s="13">
        <v>1987.2275</v>
      </c>
      <c r="H55" s="13">
        <v>1983.9457</v>
      </c>
      <c r="I55" s="13">
        <v>100.36022</v>
      </c>
      <c r="J55" s="13">
        <v>96.832964</v>
      </c>
      <c r="L55">
        <f t="shared" si="29"/>
        <v>110.34379</v>
      </c>
      <c r="M55">
        <f t="shared" si="30"/>
        <v>110.16655</v>
      </c>
      <c r="N55">
        <f t="shared" si="59"/>
        <v>45.351401</v>
      </c>
      <c r="O55">
        <f t="shared" si="50"/>
        <v>44.838179</v>
      </c>
      <c r="Q55">
        <f t="shared" si="31"/>
        <v>1987.2275</v>
      </c>
      <c r="R55">
        <f t="shared" si="32"/>
        <v>1983.9457</v>
      </c>
      <c r="S55">
        <f t="shared" si="51"/>
        <v>100.36022</v>
      </c>
      <c r="T55">
        <f t="shared" si="60"/>
        <v>96.832964</v>
      </c>
      <c r="V55" s="7">
        <v>950.11393</v>
      </c>
      <c r="X55" s="2">
        <f t="shared" si="33"/>
        <v>-904.762529</v>
      </c>
      <c r="Y55" s="2">
        <f t="shared" si="34"/>
        <v>-905.275751</v>
      </c>
      <c r="Z55" s="2">
        <f t="shared" si="35"/>
        <v>1050.47415</v>
      </c>
      <c r="AA55" s="2">
        <f t="shared" si="36"/>
        <v>1046.946894</v>
      </c>
      <c r="AC55">
        <f t="shared" si="52"/>
        <v>15.30314000000004</v>
      </c>
      <c r="AD55">
        <f t="shared" si="53"/>
        <v>8.210478000000112</v>
      </c>
      <c r="AH55">
        <f t="shared" si="61"/>
        <v>-26.323476490000076</v>
      </c>
      <c r="AI55">
        <f t="shared" si="62"/>
        <v>-26.653964050000127</v>
      </c>
      <c r="AJ55">
        <f t="shared" si="63"/>
        <v>-35.68704249999996</v>
      </c>
      <c r="AK55">
        <f t="shared" si="64"/>
        <v>-35.83076270000004</v>
      </c>
      <c r="AM55">
        <v>945</v>
      </c>
      <c r="AN55">
        <v>-1029.5</v>
      </c>
      <c r="AO55">
        <v>80.5</v>
      </c>
      <c r="AP55">
        <v>-863.8</v>
      </c>
      <c r="AQ55">
        <v>-10.5</v>
      </c>
      <c r="AS55">
        <v>-945</v>
      </c>
      <c r="AT55">
        <v>-70.8</v>
      </c>
      <c r="AU55">
        <v>1012.5</v>
      </c>
      <c r="AV55">
        <v>90.5</v>
      </c>
      <c r="AW55">
        <v>924.3</v>
      </c>
      <c r="AY55" t="s">
        <v>76</v>
      </c>
      <c r="BV55" s="7"/>
      <c r="BW55" s="7"/>
    </row>
    <row r="56" spans="1:75" ht="16.5">
      <c r="A56" s="1">
        <v>39581</v>
      </c>
      <c r="B56" s="13">
        <v>106.27493</v>
      </c>
      <c r="C56" s="13">
        <v>108.56845</v>
      </c>
      <c r="D56" s="13">
        <v>39.404401</v>
      </c>
      <c r="E56" s="13">
        <v>41.651879</v>
      </c>
      <c r="F56" s="13"/>
      <c r="G56" s="13">
        <v>1989.4654</v>
      </c>
      <c r="H56" s="13">
        <v>1983.585</v>
      </c>
      <c r="I56" s="13">
        <v>103.45719</v>
      </c>
      <c r="J56" s="13">
        <v>97.351486</v>
      </c>
      <c r="L56">
        <f t="shared" si="29"/>
        <v>106.27493</v>
      </c>
      <c r="M56">
        <f t="shared" si="30"/>
        <v>108.56845</v>
      </c>
      <c r="N56">
        <f t="shared" si="59"/>
        <v>39.404401</v>
      </c>
      <c r="O56">
        <f aca="true" t="shared" si="65" ref="O56:O86">E56+(AM56-945)</f>
        <v>41.651879</v>
      </c>
      <c r="Q56">
        <f t="shared" si="31"/>
        <v>1989.4654</v>
      </c>
      <c r="R56">
        <f t="shared" si="32"/>
        <v>1983.585</v>
      </c>
      <c r="S56">
        <f t="shared" si="51"/>
        <v>103.45719</v>
      </c>
      <c r="T56">
        <f aca="true" t="shared" si="66" ref="T56:T86">J56+(AS56+945)</f>
        <v>97.351486</v>
      </c>
      <c r="V56" s="7">
        <v>949.69134</v>
      </c>
      <c r="X56" s="2">
        <f t="shared" si="33"/>
        <v>-910.286939</v>
      </c>
      <c r="Y56" s="2">
        <f t="shared" si="34"/>
        <v>-908.039461</v>
      </c>
      <c r="Z56" s="2">
        <f t="shared" si="35"/>
        <v>1053.14853</v>
      </c>
      <c r="AA56" s="2">
        <f t="shared" si="36"/>
        <v>1047.0428259999999</v>
      </c>
      <c r="AC56">
        <f t="shared" si="52"/>
        <v>19.447200000000006</v>
      </c>
      <c r="AD56">
        <f t="shared" si="53"/>
        <v>6.82532200000006</v>
      </c>
      <c r="AH56">
        <f t="shared" si="61"/>
        <v>-27.652891830000044</v>
      </c>
      <c r="AI56">
        <f t="shared" si="62"/>
        <v>-27.770032949999973</v>
      </c>
      <c r="AJ56">
        <f t="shared" si="63"/>
        <v>-35.31993740000007</v>
      </c>
      <c r="AK56">
        <f t="shared" si="64"/>
        <v>-35.36294900000007</v>
      </c>
      <c r="AM56">
        <v>945</v>
      </c>
      <c r="AN56">
        <v>-1028.6</v>
      </c>
      <c r="AO56">
        <v>79.2</v>
      </c>
      <c r="AP56">
        <v>-865.3</v>
      </c>
      <c r="AQ56">
        <v>-9.3</v>
      </c>
      <c r="AS56">
        <v>-945</v>
      </c>
      <c r="AT56">
        <v>-69.3</v>
      </c>
      <c r="AU56">
        <v>1011.2</v>
      </c>
      <c r="AV56">
        <v>89.2</v>
      </c>
      <c r="AW56">
        <v>925.6</v>
      </c>
      <c r="AY56" t="s">
        <v>76</v>
      </c>
      <c r="BV56" s="7"/>
      <c r="BW56" s="7"/>
    </row>
    <row r="57" spans="1:75" ht="16.5">
      <c r="A57" s="1">
        <v>39586</v>
      </c>
      <c r="B57" s="13">
        <v>100.60227</v>
      </c>
      <c r="C57" s="13">
        <v>104.62602</v>
      </c>
      <c r="D57" s="13">
        <v>33.599072</v>
      </c>
      <c r="E57" s="13">
        <v>37.821379</v>
      </c>
      <c r="F57" s="13"/>
      <c r="G57" s="13">
        <v>1991.7888</v>
      </c>
      <c r="H57" s="13">
        <v>1983.8945</v>
      </c>
      <c r="I57" s="13">
        <v>106.42048</v>
      </c>
      <c r="J57" s="13">
        <v>98.382431</v>
      </c>
      <c r="L57">
        <f t="shared" si="29"/>
        <v>100.60227</v>
      </c>
      <c r="M57">
        <f t="shared" si="30"/>
        <v>104.62602</v>
      </c>
      <c r="N57">
        <f t="shared" si="59"/>
        <v>33.599072</v>
      </c>
      <c r="O57">
        <f t="shared" si="65"/>
        <v>37.821379</v>
      </c>
      <c r="Q57">
        <f t="shared" si="31"/>
        <v>1991.7888</v>
      </c>
      <c r="R57">
        <f t="shared" si="32"/>
        <v>1983.8945</v>
      </c>
      <c r="S57">
        <f t="shared" si="51"/>
        <v>106.42048</v>
      </c>
      <c r="T57">
        <f t="shared" si="66"/>
        <v>98.382431</v>
      </c>
      <c r="V57" s="7">
        <v>948.68807</v>
      </c>
      <c r="X57" s="2">
        <f t="shared" si="33"/>
        <v>-915.0889980000001</v>
      </c>
      <c r="Y57" s="2">
        <f t="shared" si="34"/>
        <v>-910.8666910000001</v>
      </c>
      <c r="Z57" s="2">
        <f t="shared" si="35"/>
        <v>1055.10855</v>
      </c>
      <c r="AA57" s="2">
        <f t="shared" si="36"/>
        <v>1047.0705010000001</v>
      </c>
      <c r="AC57">
        <f t="shared" si="52"/>
        <v>23.261844500000105</v>
      </c>
      <c r="AD57">
        <f t="shared" si="53"/>
        <v>5.831474499999931</v>
      </c>
      <c r="AH57">
        <f t="shared" si="61"/>
        <v>-26.60643837000009</v>
      </c>
      <c r="AI57">
        <f t="shared" si="62"/>
        <v>-26.532617620000224</v>
      </c>
      <c r="AJ57">
        <f t="shared" si="63"/>
        <v>-35.75534280000011</v>
      </c>
      <c r="AK57">
        <f t="shared" si="64"/>
        <v>-35.65436849999992</v>
      </c>
      <c r="AM57">
        <v>945</v>
      </c>
      <c r="AN57">
        <v>-1027.2</v>
      </c>
      <c r="AO57">
        <v>78.3</v>
      </c>
      <c r="AP57">
        <v>-865.8</v>
      </c>
      <c r="AQ57">
        <v>-8.4</v>
      </c>
      <c r="AS57">
        <v>-945</v>
      </c>
      <c r="AT57">
        <v>-68.4</v>
      </c>
      <c r="AU57">
        <v>1010.2</v>
      </c>
      <c r="AV57">
        <v>88.2</v>
      </c>
      <c r="AW57">
        <v>926.7</v>
      </c>
      <c r="AY57" t="s">
        <v>76</v>
      </c>
      <c r="BV57" s="7"/>
      <c r="BW57" s="7"/>
    </row>
    <row r="58" spans="1:75" ht="16.5">
      <c r="A58" s="1">
        <v>39593</v>
      </c>
      <c r="B58" s="13">
        <v>95.657016</v>
      </c>
      <c r="C58" s="13">
        <v>101.40242</v>
      </c>
      <c r="D58" s="13">
        <v>26.761305</v>
      </c>
      <c r="E58" s="13">
        <v>32.745172</v>
      </c>
      <c r="F58" s="13"/>
      <c r="G58" s="13">
        <v>1993.3794</v>
      </c>
      <c r="H58" s="13">
        <v>1983.3789</v>
      </c>
      <c r="I58" s="13">
        <v>110.54375</v>
      </c>
      <c r="J58" s="13">
        <v>100.22475</v>
      </c>
      <c r="L58">
        <f t="shared" si="29"/>
        <v>95.657016</v>
      </c>
      <c r="M58">
        <f t="shared" si="30"/>
        <v>101.40242</v>
      </c>
      <c r="N58">
        <f t="shared" si="59"/>
        <v>26.761305</v>
      </c>
      <c r="O58">
        <f t="shared" si="65"/>
        <v>32.745172</v>
      </c>
      <c r="Q58">
        <f t="shared" si="31"/>
        <v>1993.3794</v>
      </c>
      <c r="R58">
        <f t="shared" si="32"/>
        <v>1983.3789</v>
      </c>
      <c r="S58">
        <f t="shared" si="51"/>
        <v>110.54375</v>
      </c>
      <c r="T58">
        <f t="shared" si="66"/>
        <v>100.22475</v>
      </c>
      <c r="V58" s="7">
        <v>947.42105</v>
      </c>
      <c r="X58" s="2">
        <f t="shared" si="33"/>
        <v>-920.659745</v>
      </c>
      <c r="Y58" s="2">
        <f t="shared" si="34"/>
        <v>-914.675878</v>
      </c>
      <c r="Z58" s="2">
        <f t="shared" si="35"/>
        <v>1057.9648</v>
      </c>
      <c r="AA58" s="2">
        <f t="shared" si="36"/>
        <v>1047.6458</v>
      </c>
      <c r="AC58">
        <f t="shared" si="52"/>
        <v>27.951811500000016</v>
      </c>
      <c r="AD58">
        <f t="shared" si="53"/>
        <v>4.115699999999979</v>
      </c>
      <c r="AH58">
        <f t="shared" si="61"/>
        <v>-27.07862849600008</v>
      </c>
      <c r="AI58">
        <f t="shared" si="62"/>
        <v>-27.018273020000038</v>
      </c>
      <c r="AJ58">
        <f t="shared" si="63"/>
        <v>-34.539001400000075</v>
      </c>
      <c r="AK58">
        <f t="shared" si="64"/>
        <v>-34.547485899999856</v>
      </c>
      <c r="AM58">
        <v>945</v>
      </c>
      <c r="AN58">
        <v>-1026.7</v>
      </c>
      <c r="AO58">
        <v>77.3</v>
      </c>
      <c r="AP58">
        <v>-867.2</v>
      </c>
      <c r="AQ58">
        <v>-7.3</v>
      </c>
      <c r="AS58">
        <v>-945</v>
      </c>
      <c r="AT58">
        <v>-67.6</v>
      </c>
      <c r="AU58">
        <v>1009.3</v>
      </c>
      <c r="AV58">
        <v>87.4</v>
      </c>
      <c r="AW58">
        <v>927.8</v>
      </c>
      <c r="AY58" t="s">
        <v>76</v>
      </c>
      <c r="BV58" s="7"/>
      <c r="BW58" s="7"/>
    </row>
    <row r="59" spans="1:75" ht="16.5">
      <c r="A59" s="1">
        <v>39603</v>
      </c>
      <c r="B59" s="13">
        <v>90.69636</v>
      </c>
      <c r="C59" s="13">
        <v>97.720466</v>
      </c>
      <c r="D59" s="13">
        <v>20.484357</v>
      </c>
      <c r="E59" s="13">
        <v>28.510687</v>
      </c>
      <c r="F59" s="13"/>
      <c r="G59" s="13">
        <v>1995.4502</v>
      </c>
      <c r="H59" s="13">
        <v>1983.7442</v>
      </c>
      <c r="I59" s="13">
        <v>113.96449</v>
      </c>
      <c r="J59" s="13">
        <v>101.9478</v>
      </c>
      <c r="L59">
        <f t="shared" si="29"/>
        <v>90.69636</v>
      </c>
      <c r="M59">
        <f t="shared" si="30"/>
        <v>97.720466</v>
      </c>
      <c r="N59">
        <f t="shared" si="59"/>
        <v>20.484357</v>
      </c>
      <c r="O59">
        <f t="shared" si="65"/>
        <v>28.510687</v>
      </c>
      <c r="Q59">
        <f t="shared" si="31"/>
        <v>1995.4502</v>
      </c>
      <c r="R59">
        <f t="shared" si="32"/>
        <v>1983.7442</v>
      </c>
      <c r="S59">
        <f t="shared" si="51"/>
        <v>113.96449</v>
      </c>
      <c r="T59">
        <f t="shared" si="66"/>
        <v>101.9478</v>
      </c>
      <c r="V59" s="7">
        <v>945.91726</v>
      </c>
      <c r="X59" s="2">
        <f t="shared" si="33"/>
        <v>-925.432903</v>
      </c>
      <c r="Y59" s="2">
        <f t="shared" si="34"/>
        <v>-917.4065730000001</v>
      </c>
      <c r="Z59" s="2">
        <f t="shared" si="35"/>
        <v>1059.88175</v>
      </c>
      <c r="AA59" s="2">
        <f t="shared" si="36"/>
        <v>1047.86506</v>
      </c>
      <c r="AC59">
        <f t="shared" si="52"/>
        <v>31.703738000000097</v>
      </c>
      <c r="AD59">
        <f t="shared" si="53"/>
        <v>3.0475949999999195</v>
      </c>
      <c r="AH59">
        <f t="shared" si="61"/>
        <v>-26.73735016000012</v>
      </c>
      <c r="AI59">
        <f t="shared" si="62"/>
        <v>-25.952873446000126</v>
      </c>
      <c r="AJ59">
        <f t="shared" si="63"/>
        <v>-34.75704619999999</v>
      </c>
      <c r="AK59">
        <f t="shared" si="64"/>
        <v>-34.70485020000001</v>
      </c>
      <c r="AM59">
        <v>945</v>
      </c>
      <c r="AS59">
        <v>-945</v>
      </c>
      <c r="AT59">
        <v>-66.4</v>
      </c>
      <c r="AU59">
        <v>1008.3</v>
      </c>
      <c r="AV59">
        <v>86.5</v>
      </c>
      <c r="AW59">
        <v>928.7</v>
      </c>
      <c r="AY59" t="s">
        <v>76</v>
      </c>
      <c r="BV59" s="7"/>
      <c r="BW59" s="7"/>
    </row>
    <row r="60" spans="1:75" ht="16.5">
      <c r="A60" s="1">
        <v>39613</v>
      </c>
      <c r="B60" s="13">
        <v>89.464908</v>
      </c>
      <c r="C60" s="13">
        <v>97.76441</v>
      </c>
      <c r="D60" s="13">
        <v>17.637316</v>
      </c>
      <c r="E60" s="13">
        <v>26.127456</v>
      </c>
      <c r="F60" s="13"/>
      <c r="G60" s="13">
        <v>1996.1558</v>
      </c>
      <c r="H60" s="13">
        <v>1983.6485</v>
      </c>
      <c r="I60" s="13">
        <v>116.07646</v>
      </c>
      <c r="J60" s="13">
        <v>103.23109</v>
      </c>
      <c r="L60">
        <f t="shared" si="29"/>
        <v>89.464908</v>
      </c>
      <c r="M60">
        <f t="shared" si="30"/>
        <v>97.76441</v>
      </c>
      <c r="N60">
        <f t="shared" si="59"/>
        <v>17.637316</v>
      </c>
      <c r="O60">
        <f t="shared" si="65"/>
        <v>26.127456</v>
      </c>
      <c r="Q60">
        <f t="shared" si="31"/>
        <v>1996.1558</v>
      </c>
      <c r="R60">
        <f t="shared" si="32"/>
        <v>1983.6485</v>
      </c>
      <c r="S60">
        <f t="shared" si="51"/>
        <v>116.07646</v>
      </c>
      <c r="T60">
        <f t="shared" si="66"/>
        <v>103.23109</v>
      </c>
      <c r="V60" s="7">
        <v>944.8067</v>
      </c>
      <c r="X60" s="2">
        <f t="shared" si="33"/>
        <v>-927.169384</v>
      </c>
      <c r="Y60" s="2">
        <f t="shared" si="34"/>
        <v>-918.6792439999999</v>
      </c>
      <c r="Z60" s="2">
        <f t="shared" si="35"/>
        <v>1060.8831599999999</v>
      </c>
      <c r="AA60" s="2">
        <f t="shared" si="36"/>
        <v>1048.0377899999999</v>
      </c>
      <c r="AC60">
        <f t="shared" si="52"/>
        <v>33.20831400000003</v>
      </c>
      <c r="AD60">
        <f t="shared" si="53"/>
        <v>2.460525000000107</v>
      </c>
      <c r="AH60">
        <f t="shared" si="61"/>
        <v>-27.204204148000144</v>
      </c>
      <c r="AI60">
        <f t="shared" si="62"/>
        <v>-27.27085070999999</v>
      </c>
      <c r="AJ60">
        <f t="shared" si="63"/>
        <v>-34.48310980000008</v>
      </c>
      <c r="AK60">
        <f t="shared" si="64"/>
        <v>-34.433453500000155</v>
      </c>
      <c r="AM60">
        <v>945</v>
      </c>
      <c r="AN60">
        <v>-1025.3</v>
      </c>
      <c r="AO60">
        <v>75.5</v>
      </c>
      <c r="AP60">
        <v>-868.2</v>
      </c>
      <c r="AQ60">
        <v>-6.2</v>
      </c>
      <c r="AS60">
        <v>-945</v>
      </c>
      <c r="AT60">
        <v>-66.2</v>
      </c>
      <c r="AU60">
        <v>1007.8</v>
      </c>
      <c r="AV60">
        <v>86.4</v>
      </c>
      <c r="AW60">
        <v>928.8</v>
      </c>
      <c r="AY60" t="s">
        <v>76</v>
      </c>
      <c r="BV60" s="7"/>
      <c r="BW60" s="7"/>
    </row>
    <row r="61" spans="1:75" ht="16.5">
      <c r="A61" s="1">
        <v>39625</v>
      </c>
      <c r="B61" s="13">
        <v>89.884263</v>
      </c>
      <c r="C61" s="13">
        <v>97.791613</v>
      </c>
      <c r="D61" s="13">
        <v>16.748073</v>
      </c>
      <c r="E61" s="13">
        <v>25.081941</v>
      </c>
      <c r="F61" s="13"/>
      <c r="G61" s="13">
        <v>1996.1203</v>
      </c>
      <c r="H61" s="13">
        <v>1983.7666</v>
      </c>
      <c r="I61" s="13">
        <v>116.96763</v>
      </c>
      <c r="J61" s="13">
        <v>104.17369</v>
      </c>
      <c r="L61">
        <f t="shared" si="29"/>
        <v>89.884263</v>
      </c>
      <c r="M61">
        <f t="shared" si="30"/>
        <v>97.791613</v>
      </c>
      <c r="N61">
        <f t="shared" si="59"/>
        <v>16.748073</v>
      </c>
      <c r="O61">
        <f t="shared" si="65"/>
        <v>25.081941</v>
      </c>
      <c r="Q61">
        <f t="shared" si="31"/>
        <v>1996.1203</v>
      </c>
      <c r="R61">
        <f t="shared" si="32"/>
        <v>1983.7666</v>
      </c>
      <c r="S61">
        <f t="shared" si="51"/>
        <v>116.96763</v>
      </c>
      <c r="T61">
        <f t="shared" si="66"/>
        <v>104.17369</v>
      </c>
      <c r="V61" s="7">
        <v>944.03053</v>
      </c>
      <c r="X61" s="2">
        <f t="shared" si="33"/>
        <v>-927.282457</v>
      </c>
      <c r="Y61" s="2">
        <f t="shared" si="34"/>
        <v>-918.948589</v>
      </c>
      <c r="Z61" s="2">
        <f t="shared" si="35"/>
        <v>1060.99816</v>
      </c>
      <c r="AA61" s="2">
        <f t="shared" si="36"/>
        <v>1048.20422</v>
      </c>
      <c r="AC61">
        <f t="shared" si="52"/>
        <v>33.39952299999999</v>
      </c>
      <c r="AD61">
        <f t="shared" si="53"/>
        <v>2.3198099999998796</v>
      </c>
      <c r="AH61">
        <f t="shared" si="61"/>
        <v>-27.749632153000107</v>
      </c>
      <c r="AI61">
        <f t="shared" si="62"/>
        <v>-27.568242003000023</v>
      </c>
      <c r="AJ61">
        <f t="shared" si="63"/>
        <v>-34.33150929999988</v>
      </c>
      <c r="AK61">
        <f t="shared" si="64"/>
        <v>-34.38878459999978</v>
      </c>
      <c r="AM61">
        <v>945</v>
      </c>
      <c r="AN61">
        <v>-1025.2</v>
      </c>
      <c r="AO61">
        <v>75.7</v>
      </c>
      <c r="AP61">
        <v>-868.3</v>
      </c>
      <c r="AQ61">
        <v>-5.9</v>
      </c>
      <c r="AS61">
        <v>-945</v>
      </c>
      <c r="AT61">
        <v>-66.1</v>
      </c>
      <c r="AU61">
        <v>1007.9</v>
      </c>
      <c r="AV61">
        <v>86.4</v>
      </c>
      <c r="AW61">
        <v>928.9</v>
      </c>
      <c r="AY61" t="s">
        <v>76</v>
      </c>
      <c r="BV61" s="7"/>
      <c r="BW61" s="7"/>
    </row>
    <row r="62" spans="1:75" ht="16.5">
      <c r="A62" s="1">
        <v>39641</v>
      </c>
      <c r="B62" s="13">
        <v>92.862636</v>
      </c>
      <c r="C62" s="13">
        <v>98.489185</v>
      </c>
      <c r="D62" s="13">
        <v>21.15418</v>
      </c>
      <c r="E62" s="13">
        <v>26.506656</v>
      </c>
      <c r="F62" s="13"/>
      <c r="G62" s="13">
        <v>1994.3384</v>
      </c>
      <c r="H62" s="13">
        <v>1983.952</v>
      </c>
      <c r="I62" s="13">
        <v>114.71331</v>
      </c>
      <c r="J62" s="13">
        <v>103.73859</v>
      </c>
      <c r="L62">
        <f t="shared" si="29"/>
        <v>92.862636</v>
      </c>
      <c r="M62">
        <f t="shared" si="30"/>
        <v>98.489185</v>
      </c>
      <c r="N62">
        <f t="shared" si="59"/>
        <v>21.15418</v>
      </c>
      <c r="O62">
        <f t="shared" si="65"/>
        <v>26.506656</v>
      </c>
      <c r="Q62">
        <f t="shared" si="31"/>
        <v>1994.3384</v>
      </c>
      <c r="R62">
        <f t="shared" si="32"/>
        <v>1983.952</v>
      </c>
      <c r="S62">
        <f t="shared" si="51"/>
        <v>114.71331</v>
      </c>
      <c r="T62">
        <f t="shared" si="66"/>
        <v>103.73859</v>
      </c>
      <c r="V62" s="7">
        <v>943.97969</v>
      </c>
      <c r="X62" s="2">
        <f t="shared" si="33"/>
        <v>-922.82551</v>
      </c>
      <c r="Y62" s="2">
        <f t="shared" si="34"/>
        <v>-917.473034</v>
      </c>
      <c r="Z62" s="2">
        <f t="shared" si="35"/>
        <v>1058.693</v>
      </c>
      <c r="AA62" s="2">
        <f t="shared" si="36"/>
        <v>1047.71828</v>
      </c>
      <c r="AC62">
        <f t="shared" si="52"/>
        <v>30.43327200000004</v>
      </c>
      <c r="AD62">
        <f t="shared" si="53"/>
        <v>3.715359999999837</v>
      </c>
      <c r="AH62">
        <f t="shared" si="61"/>
        <v>-26.363387716000034</v>
      </c>
      <c r="AI62">
        <f t="shared" si="62"/>
        <v>-26.811883735000038</v>
      </c>
      <c r="AJ62">
        <f t="shared" si="63"/>
        <v>-34.799530400000094</v>
      </c>
      <c r="AK62">
        <f t="shared" si="64"/>
        <v>-35.0658719999999</v>
      </c>
      <c r="AM62">
        <v>945</v>
      </c>
      <c r="AN62">
        <v>-1026.3</v>
      </c>
      <c r="AO62">
        <v>76.7</v>
      </c>
      <c r="AP62">
        <v>-866.8</v>
      </c>
      <c r="AQ62">
        <v>-6.8</v>
      </c>
      <c r="AS62">
        <v>-945</v>
      </c>
      <c r="AT62">
        <v>-67.2</v>
      </c>
      <c r="AU62">
        <v>1008.6</v>
      </c>
      <c r="AV62">
        <v>87.6</v>
      </c>
      <c r="AW62">
        <v>927.8</v>
      </c>
      <c r="AY62" t="s">
        <v>76</v>
      </c>
      <c r="BV62" s="7"/>
      <c r="BW62" s="7"/>
    </row>
    <row r="63" spans="1:75" ht="16.5">
      <c r="A63" s="1">
        <v>39653</v>
      </c>
      <c r="B63" s="13">
        <v>102.16884</v>
      </c>
      <c r="C63" s="13">
        <v>102.47665</v>
      </c>
      <c r="D63" s="13">
        <v>29.945932</v>
      </c>
      <c r="E63" s="13">
        <v>30.428452</v>
      </c>
      <c r="F63" s="13"/>
      <c r="G63" s="13">
        <v>1991.2074</v>
      </c>
      <c r="H63" s="13">
        <v>1984.3701</v>
      </c>
      <c r="I63" s="13">
        <v>110.01512</v>
      </c>
      <c r="J63" s="13">
        <v>102.86843</v>
      </c>
      <c r="L63">
        <f t="shared" si="29"/>
        <v>102.16884</v>
      </c>
      <c r="M63">
        <f t="shared" si="30"/>
        <v>102.47665</v>
      </c>
      <c r="N63">
        <f t="shared" si="59"/>
        <v>29.945932</v>
      </c>
      <c r="O63">
        <f t="shared" si="65"/>
        <v>30.428452</v>
      </c>
      <c r="Q63">
        <f t="shared" si="31"/>
        <v>1991.2074</v>
      </c>
      <c r="R63">
        <f t="shared" si="32"/>
        <v>1984.3701</v>
      </c>
      <c r="S63">
        <f t="shared" si="51"/>
        <v>110.01512</v>
      </c>
      <c r="T63">
        <f t="shared" si="66"/>
        <v>102.86843</v>
      </c>
      <c r="V63" s="7">
        <v>944.68133</v>
      </c>
      <c r="X63" s="2">
        <f t="shared" si="33"/>
        <v>-914.735398</v>
      </c>
      <c r="Y63" s="2">
        <f t="shared" si="34"/>
        <v>-914.252878</v>
      </c>
      <c r="Z63" s="2">
        <f t="shared" si="35"/>
        <v>1054.69645</v>
      </c>
      <c r="AA63" s="2">
        <f t="shared" si="36"/>
        <v>1047.54976</v>
      </c>
      <c r="AC63">
        <f t="shared" si="52"/>
        <v>24.778138000000066</v>
      </c>
      <c r="AD63">
        <f t="shared" si="53"/>
        <v>5.797894999999844</v>
      </c>
      <c r="AH63">
        <f t="shared" si="61"/>
        <v>-27.867972040000154</v>
      </c>
      <c r="AI63">
        <f t="shared" si="62"/>
        <v>-27.702804150000134</v>
      </c>
      <c r="AJ63">
        <f t="shared" si="63"/>
        <v>-35.568019400000026</v>
      </c>
      <c r="AK63">
        <f t="shared" si="64"/>
        <v>-35.66545309999992</v>
      </c>
      <c r="AM63">
        <v>945</v>
      </c>
      <c r="AN63">
        <v>-1028.7</v>
      </c>
      <c r="AO63">
        <v>78.7</v>
      </c>
      <c r="AP63">
        <v>-864.1</v>
      </c>
      <c r="AQ63">
        <v>-8.7</v>
      </c>
      <c r="AS63">
        <v>-945</v>
      </c>
      <c r="AT63">
        <v>-69.5</v>
      </c>
      <c r="AU63">
        <v>1010.8</v>
      </c>
      <c r="AV63">
        <v>90.3</v>
      </c>
      <c r="AW63">
        <v>926.3</v>
      </c>
      <c r="AY63" t="s">
        <v>76</v>
      </c>
      <c r="BV63" s="7"/>
      <c r="BW63" s="7"/>
    </row>
    <row r="64" spans="1:75" ht="16.5">
      <c r="A64" s="1">
        <v>39658</v>
      </c>
      <c r="B64" s="13">
        <v>108.58782</v>
      </c>
      <c r="C64" s="13">
        <v>106.04408</v>
      </c>
      <c r="D64" s="13">
        <v>36.572543</v>
      </c>
      <c r="E64" s="13">
        <v>34.261399</v>
      </c>
      <c r="F64" s="13"/>
      <c r="G64" s="13">
        <v>1989.1823</v>
      </c>
      <c r="H64" s="13">
        <v>1984.8464</v>
      </c>
      <c r="I64" s="13">
        <v>107.02311</v>
      </c>
      <c r="J64" s="13">
        <v>102.4282</v>
      </c>
      <c r="L64">
        <f t="shared" si="29"/>
        <v>108.58782</v>
      </c>
      <c r="M64">
        <f t="shared" si="30"/>
        <v>106.04408</v>
      </c>
      <c r="N64">
        <f t="shared" si="59"/>
        <v>36.572543</v>
      </c>
      <c r="O64">
        <f t="shared" si="65"/>
        <v>34.261399</v>
      </c>
      <c r="Q64">
        <f t="shared" si="31"/>
        <v>1989.1823</v>
      </c>
      <c r="R64">
        <f t="shared" si="32"/>
        <v>1984.8464</v>
      </c>
      <c r="S64">
        <f t="shared" si="51"/>
        <v>107.02311</v>
      </c>
      <c r="T64">
        <f t="shared" si="66"/>
        <v>102.4282</v>
      </c>
      <c r="V64" s="7">
        <v>945.15559</v>
      </c>
      <c r="X64" s="2">
        <f t="shared" si="33"/>
        <v>-908.583047</v>
      </c>
      <c r="Y64" s="2">
        <f t="shared" si="34"/>
        <v>-910.894191</v>
      </c>
      <c r="Z64" s="2">
        <f t="shared" si="35"/>
        <v>1052.1787</v>
      </c>
      <c r="AA64" s="2">
        <f t="shared" si="36"/>
        <v>1047.58379</v>
      </c>
      <c r="AC64">
        <f t="shared" si="52"/>
        <v>20.022619000000017</v>
      </c>
      <c r="AD64">
        <f t="shared" si="53"/>
        <v>7.039754999999932</v>
      </c>
      <c r="AH64">
        <f t="shared" si="61"/>
        <v>-28.333589419999953</v>
      </c>
      <c r="AI64">
        <f t="shared" si="62"/>
        <v>-28.022137480000083</v>
      </c>
      <c r="AJ64">
        <f t="shared" si="63"/>
        <v>-35.99789129999999</v>
      </c>
      <c r="AK64">
        <f t="shared" si="64"/>
        <v>-36.12248839999995</v>
      </c>
      <c r="AM64">
        <v>945</v>
      </c>
      <c r="AN64">
        <v>-1030</v>
      </c>
      <c r="AO64">
        <v>80.2</v>
      </c>
      <c r="AP64">
        <v>-862.6</v>
      </c>
      <c r="AQ64">
        <v>-10</v>
      </c>
      <c r="AS64">
        <v>-945</v>
      </c>
      <c r="AT64">
        <v>-70.8</v>
      </c>
      <c r="AU64">
        <v>1012.2</v>
      </c>
      <c r="AV64">
        <v>91.8</v>
      </c>
      <c r="AW64">
        <v>925</v>
      </c>
      <c r="AY64" t="s">
        <v>76</v>
      </c>
      <c r="BV64" s="7"/>
      <c r="BW64" s="7"/>
    </row>
    <row r="65" spans="1:75" ht="16.5">
      <c r="A65" s="1">
        <v>39666</v>
      </c>
      <c r="B65" s="13">
        <v>121.48548</v>
      </c>
      <c r="C65" s="13">
        <v>112.75294</v>
      </c>
      <c r="D65" s="13">
        <v>52.568104</v>
      </c>
      <c r="E65" s="13">
        <v>43.434083</v>
      </c>
      <c r="F65" s="13"/>
      <c r="G65" s="13">
        <v>1983.7527</v>
      </c>
      <c r="H65" s="13">
        <v>1986.4645</v>
      </c>
      <c r="I65" s="13">
        <v>98.764349</v>
      </c>
      <c r="J65" s="13">
        <v>101.74583</v>
      </c>
      <c r="L65">
        <f t="shared" si="29"/>
        <v>121.48548</v>
      </c>
      <c r="M65">
        <f t="shared" si="30"/>
        <v>112.75294</v>
      </c>
      <c r="N65">
        <f t="shared" si="59"/>
        <v>52.568104</v>
      </c>
      <c r="O65">
        <f t="shared" si="65"/>
        <v>43.434083</v>
      </c>
      <c r="Q65">
        <f t="shared" si="31"/>
        <v>1983.7527</v>
      </c>
      <c r="R65">
        <f t="shared" si="32"/>
        <v>1986.4645</v>
      </c>
      <c r="S65">
        <f t="shared" si="51"/>
        <v>98.764349</v>
      </c>
      <c r="T65">
        <f t="shared" si="66"/>
        <v>101.74583</v>
      </c>
      <c r="V65" s="7">
        <v>946.12749</v>
      </c>
      <c r="X65" s="2">
        <f t="shared" si="33"/>
        <v>-893.559386</v>
      </c>
      <c r="Y65" s="2">
        <f t="shared" si="34"/>
        <v>-902.693407</v>
      </c>
      <c r="Z65" s="2">
        <f t="shared" si="35"/>
        <v>1044.891839</v>
      </c>
      <c r="AA65" s="2">
        <f t="shared" si="36"/>
        <v>1047.87332</v>
      </c>
      <c r="AC65">
        <f t="shared" si="52"/>
        <v>8.410396500000102</v>
      </c>
      <c r="AD65">
        <f t="shared" si="53"/>
        <v>10.538420500000175</v>
      </c>
      <c r="AH65">
        <f t="shared" si="61"/>
        <v>-26.60741588000019</v>
      </c>
      <c r="AI65">
        <f t="shared" si="62"/>
        <v>-26.738188140000034</v>
      </c>
      <c r="AJ65">
        <f t="shared" si="63"/>
        <v>-37.68683470000008</v>
      </c>
      <c r="AK65">
        <f t="shared" si="64"/>
        <v>-37.50121950000005</v>
      </c>
      <c r="AM65">
        <v>945</v>
      </c>
      <c r="AN65">
        <v>-1033.5</v>
      </c>
      <c r="AO65">
        <v>83.6</v>
      </c>
      <c r="AP65">
        <v>-859.6</v>
      </c>
      <c r="AQ65">
        <v>-13.4</v>
      </c>
      <c r="AS65">
        <v>-945</v>
      </c>
      <c r="AT65">
        <v>-74.5</v>
      </c>
      <c r="AU65">
        <v>1015.7</v>
      </c>
      <c r="AV65">
        <v>95.2</v>
      </c>
      <c r="AW65">
        <v>921.3</v>
      </c>
      <c r="AY65" t="s">
        <v>76</v>
      </c>
      <c r="BV65" s="7"/>
      <c r="BW65" s="7"/>
    </row>
    <row r="66" spans="1:75" ht="16.5">
      <c r="A66" s="1">
        <v>39669</v>
      </c>
      <c r="B66" s="13">
        <v>122</v>
      </c>
      <c r="C66" s="13">
        <v>113.2</v>
      </c>
      <c r="D66" s="13">
        <v>53.6</v>
      </c>
      <c r="E66" s="13">
        <v>44.25</v>
      </c>
      <c r="F66" s="13"/>
      <c r="G66" s="13" t="s">
        <v>77</v>
      </c>
      <c r="H66" s="13" t="s">
        <v>77</v>
      </c>
      <c r="I66" s="13">
        <v>98.3</v>
      </c>
      <c r="J66" s="13">
        <v>100.9</v>
      </c>
      <c r="L66">
        <f t="shared" si="29"/>
        <v>122</v>
      </c>
      <c r="M66">
        <f t="shared" si="30"/>
        <v>113.2</v>
      </c>
      <c r="N66">
        <f t="shared" si="59"/>
        <v>53.6</v>
      </c>
      <c r="O66">
        <f t="shared" si="65"/>
        <v>44.25</v>
      </c>
      <c r="Q66" t="str">
        <f t="shared" si="31"/>
        <v>No</v>
      </c>
      <c r="R66" t="str">
        <f t="shared" si="32"/>
        <v>No</v>
      </c>
      <c r="S66">
        <f t="shared" si="51"/>
        <v>98.3</v>
      </c>
      <c r="T66">
        <f t="shared" si="66"/>
        <v>100.9</v>
      </c>
      <c r="V66" s="7">
        <v>946.55698</v>
      </c>
      <c r="X66" s="2">
        <f t="shared" si="33"/>
        <v>-892.9569799999999</v>
      </c>
      <c r="Y66" s="2">
        <f t="shared" si="34"/>
        <v>-902.30698</v>
      </c>
      <c r="Z66" s="2">
        <f t="shared" si="35"/>
        <v>1044.85698</v>
      </c>
      <c r="AA66" s="2">
        <f t="shared" si="36"/>
        <v>1047.45698</v>
      </c>
      <c r="AC66">
        <f t="shared" si="52"/>
        <v>7.915979999999932</v>
      </c>
      <c r="AD66">
        <f t="shared" si="53"/>
        <v>10.764019999999991</v>
      </c>
      <c r="AH66">
        <f t="shared" si="61"/>
        <v>-26.535480000000007</v>
      </c>
      <c r="AI66">
        <f t="shared" si="62"/>
        <v>-26.812680000000114</v>
      </c>
      <c r="AM66">
        <v>945</v>
      </c>
      <c r="AN66">
        <v>-1033.5</v>
      </c>
      <c r="AO66">
        <v>83.7</v>
      </c>
      <c r="AP66">
        <v>-859.4</v>
      </c>
      <c r="AQ66">
        <v>-13.3</v>
      </c>
      <c r="AS66">
        <v>-945</v>
      </c>
      <c r="AT66">
        <v>-74.2</v>
      </c>
      <c r="AU66">
        <v>1015.7</v>
      </c>
      <c r="AV66">
        <v>95.1</v>
      </c>
      <c r="AW66">
        <v>921.5</v>
      </c>
      <c r="BV66" s="7"/>
      <c r="BW66" s="7"/>
    </row>
    <row r="67" spans="1:75" ht="16.5">
      <c r="A67" s="1">
        <v>39676</v>
      </c>
      <c r="B67" s="13">
        <v>122.46658</v>
      </c>
      <c r="C67" s="13">
        <v>113.2198</v>
      </c>
      <c r="D67" s="13">
        <v>54.608084</v>
      </c>
      <c r="E67" s="13">
        <v>45.138278</v>
      </c>
      <c r="F67" s="13"/>
      <c r="G67" s="13">
        <v>1982.6847</v>
      </c>
      <c r="H67" s="13">
        <v>1985.4448</v>
      </c>
      <c r="I67" s="13">
        <v>96.822471</v>
      </c>
      <c r="J67" s="13">
        <v>99.645252</v>
      </c>
      <c r="L67">
        <f t="shared" si="29"/>
        <v>122.46658</v>
      </c>
      <c r="M67">
        <f t="shared" si="30"/>
        <v>113.2198</v>
      </c>
      <c r="N67">
        <f t="shared" si="59"/>
        <v>54.608084</v>
      </c>
      <c r="O67">
        <f t="shared" si="65"/>
        <v>45.138278</v>
      </c>
      <c r="Q67">
        <f t="shared" si="31"/>
        <v>1982.6847</v>
      </c>
      <c r="R67">
        <f t="shared" si="32"/>
        <v>1985.4448</v>
      </c>
      <c r="S67">
        <f t="shared" si="51"/>
        <v>96.822471</v>
      </c>
      <c r="T67">
        <f t="shared" si="66"/>
        <v>99.645252</v>
      </c>
      <c r="V67" s="7">
        <v>947.68969</v>
      </c>
      <c r="X67" s="2">
        <f t="shared" si="33"/>
        <v>-893.0816060000001</v>
      </c>
      <c r="Y67" s="2">
        <f t="shared" si="34"/>
        <v>-902.551412</v>
      </c>
      <c r="Z67" s="2">
        <f t="shared" si="35"/>
        <v>1044.512161</v>
      </c>
      <c r="AA67" s="2">
        <f t="shared" si="36"/>
        <v>1047.334942</v>
      </c>
      <c r="AC67">
        <f t="shared" si="52"/>
        <v>8.100509000000043</v>
      </c>
      <c r="AD67">
        <f t="shared" si="53"/>
        <v>10.997448499999937</v>
      </c>
      <c r="AH67">
        <f t="shared" si="61"/>
        <v>-27.141149980000137</v>
      </c>
      <c r="AI67">
        <f t="shared" si="62"/>
        <v>-27.077525800000103</v>
      </c>
      <c r="AJ67">
        <f aca="true" t="shared" si="67" ref="AJ67:AJ86">(Z67-2048*0.0545)-(Q67-1024-15.56)*1.031+2.5</f>
        <v>-36.96540469999991</v>
      </c>
      <c r="AK67">
        <f aca="true" t="shared" si="68" ref="AK67:AK86">(AA67-2048*0.0545)-(R67-1024-15.56)*1.031+2.5</f>
        <v>-36.98828679999997</v>
      </c>
      <c r="AM67">
        <v>945</v>
      </c>
      <c r="AN67">
        <v>-1033.5</v>
      </c>
      <c r="AO67">
        <v>84</v>
      </c>
      <c r="AP67">
        <v>-859.1</v>
      </c>
      <c r="AQ67">
        <v>-13.2</v>
      </c>
      <c r="AS67">
        <v>-945</v>
      </c>
      <c r="AT67">
        <v>-74.5</v>
      </c>
      <c r="AU67">
        <v>1015.8</v>
      </c>
      <c r="AV67">
        <v>95.2</v>
      </c>
      <c r="AW67">
        <v>921.4</v>
      </c>
      <c r="BV67" s="7"/>
      <c r="BW67" s="7"/>
    </row>
    <row r="68" spans="1:90" ht="16.5">
      <c r="A68" s="1">
        <v>39694</v>
      </c>
      <c r="B68" s="13">
        <v>123.25357</v>
      </c>
      <c r="C68" s="13">
        <v>113.67747</v>
      </c>
      <c r="D68" s="13">
        <v>58.637668</v>
      </c>
      <c r="E68" s="13">
        <v>48.886235</v>
      </c>
      <c r="G68" s="13">
        <v>1982.2651</v>
      </c>
      <c r="H68" s="13">
        <v>1985.4005</v>
      </c>
      <c r="I68" s="13">
        <v>92.734977</v>
      </c>
      <c r="J68" s="13">
        <v>95.964224</v>
      </c>
      <c r="L68">
        <f t="shared" si="29"/>
        <v>123.25357</v>
      </c>
      <c r="M68">
        <f t="shared" si="30"/>
        <v>113.67747</v>
      </c>
      <c r="N68">
        <f t="shared" si="59"/>
        <v>58.637668</v>
      </c>
      <c r="O68">
        <f t="shared" si="65"/>
        <v>48.886235</v>
      </c>
      <c r="Q68">
        <f t="shared" si="31"/>
        <v>1982.2651</v>
      </c>
      <c r="R68">
        <f t="shared" si="32"/>
        <v>1985.4005</v>
      </c>
      <c r="S68">
        <f t="shared" si="51"/>
        <v>92.734977</v>
      </c>
      <c r="T68">
        <f t="shared" si="66"/>
        <v>95.964224</v>
      </c>
      <c r="V68" s="7">
        <v>951.34891</v>
      </c>
      <c r="X68" s="2">
        <f t="shared" si="33"/>
        <v>-892.7112420000001</v>
      </c>
      <c r="Y68" s="2">
        <f t="shared" si="34"/>
        <v>-902.462675</v>
      </c>
      <c r="Z68" s="2">
        <f t="shared" si="35"/>
        <v>1044.083887</v>
      </c>
      <c r="AA68" s="2">
        <f t="shared" si="36"/>
        <v>1047.313134</v>
      </c>
      <c r="AC68">
        <f t="shared" si="52"/>
        <v>7.870958500000084</v>
      </c>
      <c r="AD68">
        <f t="shared" si="53"/>
        <v>11.222489500000083</v>
      </c>
      <c r="AH68">
        <f t="shared" si="61"/>
        <v>-27.58217267000009</v>
      </c>
      <c r="AI68">
        <f t="shared" si="62"/>
        <v>-27.460646569999994</v>
      </c>
      <c r="AJ68">
        <f t="shared" si="67"/>
        <v>-36.96107110000003</v>
      </c>
      <c r="AK68">
        <f t="shared" si="68"/>
        <v>-36.96442149999996</v>
      </c>
      <c r="AM68">
        <v>945</v>
      </c>
      <c r="AN68">
        <v>-1033.5</v>
      </c>
      <c r="AO68">
        <v>84</v>
      </c>
      <c r="AP68">
        <v>-858.8</v>
      </c>
      <c r="AQ68">
        <v>-13.4</v>
      </c>
      <c r="AS68">
        <v>-945</v>
      </c>
      <c r="AT68">
        <v>-74.7</v>
      </c>
      <c r="AU68">
        <v>1016.2</v>
      </c>
      <c r="AV68">
        <v>96.1</v>
      </c>
      <c r="AW68">
        <v>921.3</v>
      </c>
      <c r="BA68" s="17">
        <v>-678.238</v>
      </c>
      <c r="BB68" s="17">
        <v>-687.96</v>
      </c>
      <c r="BC68" s="17">
        <v>1023.64</v>
      </c>
      <c r="BD68" s="17">
        <v>1026.87</v>
      </c>
      <c r="BF68">
        <v>265</v>
      </c>
      <c r="BG68" t="s">
        <v>146</v>
      </c>
      <c r="BH68" t="s">
        <v>57</v>
      </c>
      <c r="BI68">
        <v>1800</v>
      </c>
      <c r="BJ68" s="7">
        <f aca="true" t="shared" si="69" ref="BJ68:BJ77">(1800-BI68)*0.25</f>
        <v>0</v>
      </c>
      <c r="BK68">
        <v>1800</v>
      </c>
      <c r="BL68" s="7">
        <f aca="true" t="shared" si="70" ref="BL68:BL77">(1800-BK68)*0.24</f>
        <v>0</v>
      </c>
      <c r="BM68">
        <v>306</v>
      </c>
      <c r="BN68">
        <v>306</v>
      </c>
      <c r="BP68">
        <f aca="true" t="shared" si="71" ref="BP68:BP77">BA68+(BM68-256)-256</f>
        <v>-884.238</v>
      </c>
      <c r="BQ68">
        <f aca="true" t="shared" si="72" ref="BQ68:BQ77">BB68+(BN68-256)-256</f>
        <v>-893.96</v>
      </c>
      <c r="BS68">
        <f aca="true" t="shared" si="73" ref="BS68:BS77">BC68+BL68</f>
        <v>1023.64</v>
      </c>
      <c r="BT68">
        <f aca="true" t="shared" si="74" ref="BT68:BT77">BD68+BL68</f>
        <v>1026.87</v>
      </c>
      <c r="BV68" s="7">
        <f aca="true" t="shared" si="75" ref="BV68:BV77">(BS68+$BV$7-146)*0.996</f>
        <v>916.4460768515199</v>
      </c>
      <c r="BW68" s="7">
        <f aca="true" t="shared" si="76" ref="BW68:BW77">(BT68+$BV$7-146)*0.996</f>
        <v>919.6631568515201</v>
      </c>
      <c r="BY68">
        <f aca="true" t="shared" si="77" ref="BY68:BY77">BP68-(945-AM68)</f>
        <v>-884.238</v>
      </c>
      <c r="BZ68">
        <f aca="true" t="shared" si="78" ref="BZ68:BZ77">BQ68-(945-AM68)</f>
        <v>-893.96</v>
      </c>
      <c r="CA68">
        <f aca="true" t="shared" si="79" ref="CA68:CA77">BV68-(945+AS68)</f>
        <v>916.4460768515199</v>
      </c>
      <c r="CB68">
        <f aca="true" t="shared" si="80" ref="CB68:CB77">BW68-(945+AS68)</f>
        <v>919.6631568515201</v>
      </c>
      <c r="CD68" s="7">
        <f aca="true" t="shared" si="81" ref="CD68:CE70">BY68*(-1)-(L68-1024+7.51)*1.031*(-1)</f>
        <v>-36.688759329999925</v>
      </c>
      <c r="CE68" s="7">
        <f t="shared" si="81"/>
        <v>-36.83971842999995</v>
      </c>
      <c r="CF68" s="7">
        <f aca="true" t="shared" si="82" ref="CF68:CG70">CA68*(-1)-(Q68-1024-15.56)*1.031*(-1)</f>
        <v>55.48288124848011</v>
      </c>
      <c r="CG68" s="7">
        <f t="shared" si="82"/>
        <v>55.498398648479906</v>
      </c>
      <c r="CI68" s="7">
        <f aca="true" t="shared" si="83" ref="CI68:CJ70">BY68*(-1)-(X68-1024*0.0545)*(-1)</f>
        <v>-64.28124200000002</v>
      </c>
      <c r="CJ68" s="7">
        <f t="shared" si="83"/>
        <v>-64.31067499999995</v>
      </c>
      <c r="CK68" s="7">
        <f aca="true" t="shared" si="84" ref="CK68:CL70">CF68*(-1)-(Z68-1024-15.56)*1.031*(-1)</f>
        <v>-50.81875375148011</v>
      </c>
      <c r="CL68" s="7">
        <f t="shared" si="84"/>
        <v>-47.50491749447992</v>
      </c>
    </row>
    <row r="69" spans="1:90" ht="16.5">
      <c r="A69" s="1">
        <v>39716</v>
      </c>
      <c r="B69" s="13">
        <v>125.62729</v>
      </c>
      <c r="C69" s="13">
        <v>114.82459</v>
      </c>
      <c r="D69" s="13">
        <v>66.799901</v>
      </c>
      <c r="E69" s="13">
        <v>55.819128</v>
      </c>
      <c r="F69" s="13"/>
      <c r="G69" s="13">
        <v>1981.1154</v>
      </c>
      <c r="H69" s="13">
        <v>1985.0762</v>
      </c>
      <c r="I69" s="13">
        <v>85.310492</v>
      </c>
      <c r="J69" s="13">
        <v>89.513091</v>
      </c>
      <c r="L69">
        <f t="shared" si="29"/>
        <v>125.62729</v>
      </c>
      <c r="M69">
        <f t="shared" si="30"/>
        <v>114.82459</v>
      </c>
      <c r="N69">
        <f t="shared" si="59"/>
        <v>66.799901</v>
      </c>
      <c r="O69">
        <f t="shared" si="65"/>
        <v>55.819128</v>
      </c>
      <c r="Q69">
        <f t="shared" si="31"/>
        <v>1981.1154</v>
      </c>
      <c r="R69">
        <f t="shared" si="32"/>
        <v>1985.0762</v>
      </c>
      <c r="S69">
        <f t="shared" si="51"/>
        <v>85.310492</v>
      </c>
      <c r="T69">
        <f t="shared" si="66"/>
        <v>89.513091</v>
      </c>
      <c r="V69" s="7">
        <v>956.89642</v>
      </c>
      <c r="X69" s="2">
        <f t="shared" si="33"/>
        <v>-890.0965190000001</v>
      </c>
      <c r="Y69" s="2">
        <f t="shared" si="34"/>
        <v>-901.077292</v>
      </c>
      <c r="Z69" s="2">
        <f t="shared" si="35"/>
        <v>1042.206912</v>
      </c>
      <c r="AA69" s="2">
        <f t="shared" si="36"/>
        <v>1046.409511</v>
      </c>
      <c r="AC69">
        <f t="shared" si="52"/>
        <v>5.870905500000104</v>
      </c>
      <c r="AD69">
        <f t="shared" si="53"/>
        <v>12.61278849999977</v>
      </c>
      <c r="AH69">
        <f t="shared" si="61"/>
        <v>-27.41475499000012</v>
      </c>
      <c r="AI69">
        <f t="shared" si="62"/>
        <v>-27.25794429000007</v>
      </c>
      <c r="AJ69">
        <f t="shared" si="67"/>
        <v>-37.65270539999972</v>
      </c>
      <c r="AK69">
        <f t="shared" si="68"/>
        <v>-37.53369119999991</v>
      </c>
      <c r="AM69">
        <v>945</v>
      </c>
      <c r="AN69">
        <v>-1034.1</v>
      </c>
      <c r="AO69">
        <v>84.6</v>
      </c>
      <c r="AP69">
        <v>-857</v>
      </c>
      <c r="AQ69">
        <v>-13.9</v>
      </c>
      <c r="AS69">
        <v>-945</v>
      </c>
      <c r="AT69">
        <v>-75.4</v>
      </c>
      <c r="AU69">
        <v>1016.5</v>
      </c>
      <c r="AV69">
        <v>96.1</v>
      </c>
      <c r="AW69">
        <v>920.8</v>
      </c>
      <c r="BA69" s="17">
        <v>-672.659</v>
      </c>
      <c r="BB69" s="17">
        <v>-683.618</v>
      </c>
      <c r="BC69" s="17">
        <v>1020.61</v>
      </c>
      <c r="BD69" s="17">
        <v>1024.74</v>
      </c>
      <c r="BF69">
        <v>279</v>
      </c>
      <c r="BG69" t="s">
        <v>147</v>
      </c>
      <c r="BH69" t="s">
        <v>157</v>
      </c>
      <c r="BI69">
        <v>1800</v>
      </c>
      <c r="BJ69" s="7">
        <f t="shared" si="69"/>
        <v>0</v>
      </c>
      <c r="BK69">
        <v>1800</v>
      </c>
      <c r="BL69" s="7">
        <f t="shared" si="70"/>
        <v>0</v>
      </c>
      <c r="BM69">
        <v>306</v>
      </c>
      <c r="BN69">
        <v>306</v>
      </c>
      <c r="BP69">
        <f t="shared" si="71"/>
        <v>-878.659</v>
      </c>
      <c r="BQ69">
        <f t="shared" si="72"/>
        <v>-889.618</v>
      </c>
      <c r="BS69">
        <f t="shared" si="73"/>
        <v>1020.61</v>
      </c>
      <c r="BT69">
        <f t="shared" si="74"/>
        <v>1024.74</v>
      </c>
      <c r="BV69" s="7">
        <f t="shared" si="75"/>
        <v>913.42819685152</v>
      </c>
      <c r="BW69" s="7">
        <f t="shared" si="76"/>
        <v>917.5416768515202</v>
      </c>
      <c r="BY69">
        <f t="shared" si="77"/>
        <v>-878.659</v>
      </c>
      <c r="BZ69">
        <f t="shared" si="78"/>
        <v>-889.618</v>
      </c>
      <c r="CA69">
        <f t="shared" si="79"/>
        <v>913.42819685152</v>
      </c>
      <c r="CB69">
        <f t="shared" si="80"/>
        <v>917.5416768515202</v>
      </c>
      <c r="CD69" s="7">
        <f t="shared" si="81"/>
        <v>-39.820454009999935</v>
      </c>
      <c r="CE69" s="7">
        <f t="shared" si="81"/>
        <v>-39.999037709999925</v>
      </c>
      <c r="CF69" s="7">
        <f t="shared" si="82"/>
        <v>57.31542054847978</v>
      </c>
      <c r="CG69" s="7">
        <f t="shared" si="82"/>
        <v>57.28552534847984</v>
      </c>
      <c r="CI69" s="7">
        <f t="shared" si="83"/>
        <v>-67.24551900000006</v>
      </c>
      <c r="CJ69" s="7">
        <f t="shared" si="83"/>
        <v>-67.267292</v>
      </c>
      <c r="CK69" s="7">
        <f t="shared" si="84"/>
        <v>-54.58645427647967</v>
      </c>
      <c r="CL69" s="7">
        <f t="shared" si="84"/>
        <v>-50.22367950747977</v>
      </c>
    </row>
    <row r="70" spans="1:90" ht="16.5">
      <c r="A70" s="1">
        <v>39738</v>
      </c>
      <c r="B70" s="13">
        <v>127.35231</v>
      </c>
      <c r="C70" s="13">
        <v>115.42906</v>
      </c>
      <c r="D70" s="13">
        <v>74.91789</v>
      </c>
      <c r="E70" s="13">
        <v>62.688576</v>
      </c>
      <c r="F70" s="13"/>
      <c r="G70" s="13">
        <v>1980.2736</v>
      </c>
      <c r="H70" s="13">
        <v>1985.2784</v>
      </c>
      <c r="I70" s="13">
        <v>78.263246</v>
      </c>
      <c r="J70" s="13">
        <v>83.398453</v>
      </c>
      <c r="L70">
        <f t="shared" si="29"/>
        <v>127.35231</v>
      </c>
      <c r="M70">
        <f t="shared" si="30"/>
        <v>115.42906</v>
      </c>
      <c r="N70">
        <f t="shared" si="59"/>
        <v>74.91789</v>
      </c>
      <c r="O70">
        <f t="shared" si="65"/>
        <v>62.688576</v>
      </c>
      <c r="Q70">
        <f t="shared" si="31"/>
        <v>1980.2736</v>
      </c>
      <c r="R70">
        <f t="shared" si="32"/>
        <v>1985.2784</v>
      </c>
      <c r="S70">
        <f t="shared" si="51"/>
        <v>78.263246</v>
      </c>
      <c r="T70">
        <f t="shared" si="66"/>
        <v>83.398453</v>
      </c>
      <c r="V70" s="7">
        <v>962.93143</v>
      </c>
      <c r="X70" s="2">
        <f t="shared" si="33"/>
        <v>-888.0135399999999</v>
      </c>
      <c r="Y70" s="2">
        <f t="shared" si="34"/>
        <v>-900.242854</v>
      </c>
      <c r="Z70" s="2">
        <f t="shared" si="35"/>
        <v>1041.194676</v>
      </c>
      <c r="AA70" s="2">
        <f t="shared" si="36"/>
        <v>1046.3298829999999</v>
      </c>
      <c r="AC70">
        <f t="shared" si="52"/>
        <v>4.412197000000047</v>
      </c>
      <c r="AD70">
        <f t="shared" si="53"/>
        <v>13.15872049999999</v>
      </c>
      <c r="AH70">
        <f t="shared" si="61"/>
        <v>-27.110271609999927</v>
      </c>
      <c r="AI70">
        <f t="shared" si="62"/>
        <v>-27.046714860000066</v>
      </c>
      <c r="AJ70">
        <f t="shared" si="67"/>
        <v>-37.79704559999993</v>
      </c>
      <c r="AK70">
        <f t="shared" si="68"/>
        <v>-37.82178739999995</v>
      </c>
      <c r="AM70">
        <v>945</v>
      </c>
      <c r="AN70">
        <v>-1034.7</v>
      </c>
      <c r="AO70">
        <v>84.9</v>
      </c>
      <c r="AP70">
        <v>-857.8</v>
      </c>
      <c r="AQ70">
        <v>-14.5</v>
      </c>
      <c r="AS70">
        <v>-945</v>
      </c>
      <c r="AT70">
        <v>-76</v>
      </c>
      <c r="AU70">
        <v>1016.8</v>
      </c>
      <c r="AV70">
        <v>96.9</v>
      </c>
      <c r="AW70">
        <v>920.4</v>
      </c>
      <c r="BA70" s="17">
        <v>-625.937</v>
      </c>
      <c r="BB70" s="17">
        <v>-638.356</v>
      </c>
      <c r="BC70" s="17">
        <v>1031.76</v>
      </c>
      <c r="BD70" s="17">
        <v>1036.8</v>
      </c>
      <c r="BF70">
        <v>310</v>
      </c>
      <c r="BG70" t="s">
        <v>155</v>
      </c>
      <c r="BH70" t="s">
        <v>157</v>
      </c>
      <c r="BI70">
        <v>1800</v>
      </c>
      <c r="BJ70" s="7">
        <f t="shared" si="69"/>
        <v>0</v>
      </c>
      <c r="BK70">
        <v>1800</v>
      </c>
      <c r="BL70" s="7">
        <f t="shared" si="70"/>
        <v>0</v>
      </c>
      <c r="BM70">
        <v>256</v>
      </c>
      <c r="BN70">
        <v>256</v>
      </c>
      <c r="BP70">
        <f t="shared" si="71"/>
        <v>-881.937</v>
      </c>
      <c r="BQ70">
        <f t="shared" si="72"/>
        <v>-894.356</v>
      </c>
      <c r="BS70">
        <f t="shared" si="73"/>
        <v>1031.76</v>
      </c>
      <c r="BT70">
        <f t="shared" si="74"/>
        <v>1036.8</v>
      </c>
      <c r="BV70" s="7">
        <f t="shared" si="75"/>
        <v>924.5335968515201</v>
      </c>
      <c r="BW70" s="7">
        <f t="shared" si="76"/>
        <v>929.55343685152</v>
      </c>
      <c r="BY70">
        <f t="shared" si="77"/>
        <v>-881.937</v>
      </c>
      <c r="BZ70">
        <f t="shared" si="78"/>
        <v>-894.356</v>
      </c>
      <c r="CA70">
        <f t="shared" si="79"/>
        <v>924.5335968515201</v>
      </c>
      <c r="CB70">
        <f t="shared" si="80"/>
        <v>929.55343685152</v>
      </c>
      <c r="CD70" s="7">
        <f t="shared" si="81"/>
        <v>-34.76395838999997</v>
      </c>
      <c r="CE70" s="7">
        <f t="shared" si="81"/>
        <v>-34.637829139999894</v>
      </c>
      <c r="CF70" s="7">
        <f t="shared" si="82"/>
        <v>45.34212474847993</v>
      </c>
      <c r="CG70" s="7">
        <f t="shared" si="82"/>
        <v>45.482233548479826</v>
      </c>
      <c r="CI70" s="7">
        <f t="shared" si="83"/>
        <v>-61.8845399999999</v>
      </c>
      <c r="CJ70" s="7">
        <f t="shared" si="83"/>
        <v>-61.694853999999964</v>
      </c>
      <c r="CK70" s="7">
        <f t="shared" si="84"/>
        <v>-43.65677379247986</v>
      </c>
      <c r="CL70" s="7">
        <f t="shared" si="84"/>
        <v>-38.50248417547995</v>
      </c>
    </row>
    <row r="71" spans="1:83" ht="16.5">
      <c r="A71" s="1">
        <v>39770</v>
      </c>
      <c r="B71" s="13"/>
      <c r="C71" s="13"/>
      <c r="D71" s="13"/>
      <c r="E71" s="13"/>
      <c r="F71" s="13"/>
      <c r="G71" s="13">
        <v>1978.919</v>
      </c>
      <c r="H71" s="13">
        <v>1984.859</v>
      </c>
      <c r="I71" s="13">
        <v>69.171223</v>
      </c>
      <c r="J71" s="13">
        <v>75.18652</v>
      </c>
      <c r="Q71">
        <f t="shared" si="31"/>
        <v>1978.919</v>
      </c>
      <c r="R71">
        <f t="shared" si="32"/>
        <v>1984.859</v>
      </c>
      <c r="S71">
        <f t="shared" si="51"/>
        <v>69.171223</v>
      </c>
      <c r="T71">
        <f t="shared" si="66"/>
        <v>75.18652</v>
      </c>
      <c r="V71" s="7">
        <v>970.81954</v>
      </c>
      <c r="X71" s="2"/>
      <c r="Y71" s="2"/>
      <c r="Z71" s="2">
        <f t="shared" si="35"/>
        <v>1039.990763</v>
      </c>
      <c r="AA71" s="2">
        <f t="shared" si="36"/>
        <v>1046.00606</v>
      </c>
      <c r="AD71">
        <f t="shared" si="53"/>
        <v>13.922588499999993</v>
      </c>
      <c r="AJ71">
        <f t="shared" si="67"/>
        <v>-37.60436600000003</v>
      </c>
      <c r="AK71">
        <f t="shared" si="68"/>
        <v>-37.713209000000006</v>
      </c>
      <c r="AM71">
        <v>945</v>
      </c>
      <c r="AS71">
        <v>-945</v>
      </c>
      <c r="AT71">
        <v>-76.8</v>
      </c>
      <c r="AU71">
        <v>1017.3</v>
      </c>
      <c r="AV71">
        <v>97.4</v>
      </c>
      <c r="AW71">
        <v>919.8</v>
      </c>
      <c r="BA71" s="17">
        <v>-670.434</v>
      </c>
      <c r="BB71" s="17">
        <v>-684.043</v>
      </c>
      <c r="BC71" s="17">
        <v>1023.33</v>
      </c>
      <c r="BD71" s="17">
        <v>1029.49</v>
      </c>
      <c r="BF71">
        <v>275</v>
      </c>
      <c r="BG71" t="s">
        <v>148</v>
      </c>
      <c r="BH71" t="s">
        <v>157</v>
      </c>
      <c r="BI71">
        <v>1800</v>
      </c>
      <c r="BJ71" s="7">
        <f t="shared" si="69"/>
        <v>0</v>
      </c>
      <c r="BK71">
        <v>1800</v>
      </c>
      <c r="BL71" s="7">
        <f t="shared" si="70"/>
        <v>0</v>
      </c>
      <c r="BM71">
        <v>306</v>
      </c>
      <c r="BN71">
        <v>306</v>
      </c>
      <c r="BP71">
        <f t="shared" si="71"/>
        <v>-876.434</v>
      </c>
      <c r="BQ71">
        <f t="shared" si="72"/>
        <v>-890.043</v>
      </c>
      <c r="BS71">
        <f t="shared" si="73"/>
        <v>1023.33</v>
      </c>
      <c r="BT71">
        <f t="shared" si="74"/>
        <v>1029.49</v>
      </c>
      <c r="BV71" s="7">
        <f t="shared" si="75"/>
        <v>916.13731685152</v>
      </c>
      <c r="BW71" s="7">
        <f t="shared" si="76"/>
        <v>922.2726768515201</v>
      </c>
      <c r="BY71">
        <f t="shared" si="77"/>
        <v>-876.434</v>
      </c>
      <c r="BZ71">
        <f t="shared" si="78"/>
        <v>-890.043</v>
      </c>
      <c r="CA71">
        <f t="shared" si="79"/>
        <v>916.13731685152</v>
      </c>
      <c r="CB71">
        <f t="shared" si="80"/>
        <v>922.2726768515201</v>
      </c>
      <c r="CD71" s="7"/>
      <c r="CE71" s="7"/>
    </row>
    <row r="72" spans="1:90" ht="16.5">
      <c r="A72" s="1">
        <v>39808</v>
      </c>
      <c r="B72" s="13">
        <v>129.31908</v>
      </c>
      <c r="C72" s="13">
        <v>114.37874</v>
      </c>
      <c r="D72" s="13"/>
      <c r="E72" s="13"/>
      <c r="F72" s="13"/>
      <c r="G72" s="13">
        <v>1978.8257</v>
      </c>
      <c r="H72" s="13">
        <v>1985.3802</v>
      </c>
      <c r="I72" s="13">
        <v>63.291473</v>
      </c>
      <c r="J72" s="13">
        <v>70.075195</v>
      </c>
      <c r="L72">
        <f t="shared" si="29"/>
        <v>129.31908</v>
      </c>
      <c r="M72">
        <f t="shared" si="30"/>
        <v>114.37874</v>
      </c>
      <c r="Q72">
        <f t="shared" si="31"/>
        <v>1978.8257</v>
      </c>
      <c r="R72">
        <f t="shared" si="32"/>
        <v>1985.3802</v>
      </c>
      <c r="S72">
        <f t="shared" si="51"/>
        <v>63.291473</v>
      </c>
      <c r="T72">
        <f t="shared" si="66"/>
        <v>70.075195</v>
      </c>
      <c r="V72" s="7">
        <v>975.75668</v>
      </c>
      <c r="X72" s="2"/>
      <c r="Y72" s="2"/>
      <c r="Z72" s="2">
        <f t="shared" si="35"/>
        <v>1039.048153</v>
      </c>
      <c r="AA72" s="2">
        <f t="shared" si="36"/>
        <v>1045.8318749999999</v>
      </c>
      <c r="AD72">
        <f t="shared" si="53"/>
        <v>14.480986000000176</v>
      </c>
      <c r="AJ72">
        <f t="shared" si="67"/>
        <v>-38.4507837000001</v>
      </c>
      <c r="AK72">
        <f t="shared" si="68"/>
        <v>-38.42475120000017</v>
      </c>
      <c r="AM72">
        <v>945</v>
      </c>
      <c r="AN72">
        <v>-1036.7</v>
      </c>
      <c r="AO72">
        <v>85.5</v>
      </c>
      <c r="AP72">
        <v>-856.4</v>
      </c>
      <c r="AQ72">
        <v>-15.3</v>
      </c>
      <c r="AS72">
        <v>-945</v>
      </c>
      <c r="AT72">
        <v>-77.8</v>
      </c>
      <c r="AU72">
        <v>1017.7</v>
      </c>
      <c r="AV72">
        <v>97.9</v>
      </c>
      <c r="AW72">
        <v>919.4</v>
      </c>
      <c r="BA72" s="17">
        <v>-668.547</v>
      </c>
      <c r="BB72" s="17">
        <v>-684.115</v>
      </c>
      <c r="BC72" s="17">
        <v>1015.45</v>
      </c>
      <c r="BD72" s="17">
        <v>1022.23</v>
      </c>
      <c r="BF72">
        <v>277</v>
      </c>
      <c r="BG72" t="s">
        <v>133</v>
      </c>
      <c r="BH72" t="s">
        <v>142</v>
      </c>
      <c r="BI72">
        <v>1800</v>
      </c>
      <c r="BJ72" s="7">
        <f t="shared" si="69"/>
        <v>0</v>
      </c>
      <c r="BK72">
        <v>1800</v>
      </c>
      <c r="BL72" s="7">
        <f t="shared" si="70"/>
        <v>0</v>
      </c>
      <c r="BM72">
        <v>306</v>
      </c>
      <c r="BN72">
        <v>306</v>
      </c>
      <c r="BP72">
        <f t="shared" si="71"/>
        <v>-874.547</v>
      </c>
      <c r="BQ72">
        <f t="shared" si="72"/>
        <v>-890.115</v>
      </c>
      <c r="BS72">
        <f t="shared" si="73"/>
        <v>1015.45</v>
      </c>
      <c r="BT72">
        <f t="shared" si="74"/>
        <v>1022.23</v>
      </c>
      <c r="BV72" s="7">
        <f t="shared" si="75"/>
        <v>908.2888368515202</v>
      </c>
      <c r="BW72" s="7">
        <f t="shared" si="76"/>
        <v>915.0417168515202</v>
      </c>
      <c r="BY72">
        <f t="shared" si="77"/>
        <v>-874.547</v>
      </c>
      <c r="BZ72">
        <f t="shared" si="78"/>
        <v>-890.115</v>
      </c>
      <c r="CA72">
        <f t="shared" si="79"/>
        <v>908.2888368515202</v>
      </c>
      <c r="CB72">
        <f t="shared" si="80"/>
        <v>915.0417168515202</v>
      </c>
      <c r="CD72" s="7">
        <f aca="true" t="shared" si="85" ref="CD72:CE77">BY72*(-1)-(L72-1024+7.51)*1.031*(-1)</f>
        <v>-40.12621851999995</v>
      </c>
      <c r="CE72" s="7">
        <f t="shared" si="85"/>
        <v>-39.961709059999976</v>
      </c>
      <c r="CF72" s="7">
        <f aca="true" t="shared" si="86" ref="CF72:CG77">CA72*(-1)-(Q72-1024-15.56)*1.031*(-1)</f>
        <v>60.094099848479914</v>
      </c>
      <c r="CG72" s="7">
        <f t="shared" si="86"/>
        <v>60.09890934847988</v>
      </c>
      <c r="CI72" s="7"/>
      <c r="CJ72" s="7"/>
      <c r="CK72" s="7">
        <f aca="true" t="shared" si="87" ref="CK72:CK77">CF72*(-1)-(Z72-1024-15.56)*1.031*(-1)</f>
        <v>-60.621814105479956</v>
      </c>
      <c r="CL72" s="7">
        <f aca="true" t="shared" si="88" ref="CL72:CL77">CG72*(-1)-(AA72-1024-15.56)*1.031*(-1)</f>
        <v>-53.63260622348003</v>
      </c>
    </row>
    <row r="73" spans="1:90" ht="16.5">
      <c r="A73" s="1">
        <v>39834</v>
      </c>
      <c r="B73" s="13">
        <v>129.64865</v>
      </c>
      <c r="C73" s="13">
        <v>113.87895</v>
      </c>
      <c r="D73" s="13">
        <v>89.754615</v>
      </c>
      <c r="E73" s="13">
        <v>73.553013</v>
      </c>
      <c r="F73" s="13"/>
      <c r="G73" s="13">
        <v>1978.6804</v>
      </c>
      <c r="H73" s="13">
        <v>1985.1547</v>
      </c>
      <c r="I73" s="13">
        <v>63.378367</v>
      </c>
      <c r="J73" s="13">
        <v>70.171899</v>
      </c>
      <c r="L73">
        <f aca="true" t="shared" si="89" ref="L73:L103">B73</f>
        <v>129.64865</v>
      </c>
      <c r="M73">
        <f aca="true" t="shared" si="90" ref="M73:M103">C73</f>
        <v>113.87895</v>
      </c>
      <c r="N73">
        <f aca="true" t="shared" si="91" ref="N73:N102">D73+(AM73-945)</f>
        <v>89.754615</v>
      </c>
      <c r="O73">
        <f t="shared" si="65"/>
        <v>73.553013</v>
      </c>
      <c r="Q73">
        <f aca="true" t="shared" si="92" ref="Q73:Q103">G73</f>
        <v>1978.6804</v>
      </c>
      <c r="R73">
        <f aca="true" t="shared" si="93" ref="R73:R103">H73</f>
        <v>1985.1547</v>
      </c>
      <c r="S73">
        <f aca="true" t="shared" si="94" ref="S73:S102">I73+(AS73+945)</f>
        <v>63.378367</v>
      </c>
      <c r="T73">
        <f t="shared" si="66"/>
        <v>70.171899</v>
      </c>
      <c r="V73" s="7">
        <v>975.14978</v>
      </c>
      <c r="X73" s="2">
        <f aca="true" t="shared" si="95" ref="X73:X99">N73-V73</f>
        <v>-885.3951649999999</v>
      </c>
      <c r="Y73" s="2">
        <f aca="true" t="shared" si="96" ref="Y73:Y99">O73-V73</f>
        <v>-901.596767</v>
      </c>
      <c r="Z73" s="2">
        <f aca="true" t="shared" si="97" ref="Z73:Z102">S73+V73</f>
        <v>1038.528147</v>
      </c>
      <c r="AA73" s="2">
        <f aca="true" t="shared" si="98" ref="AA73:AA102">T73+V73</f>
        <v>1045.321679</v>
      </c>
      <c r="AC73">
        <f aca="true" t="shared" si="99" ref="AC73:AC93">1.56-((X73+Y73)/2-(-891.276))</f>
        <v>3.7799659999999995</v>
      </c>
      <c r="AD73">
        <f t="shared" si="53"/>
        <v>14.996087000000134</v>
      </c>
      <c r="AH73">
        <f aca="true" t="shared" si="100" ref="AH73:AH86">(X73-1024*0.0545)-(L73-1024+7.5)*1.031</f>
        <v>-26.859423149999998</v>
      </c>
      <c r="AI73">
        <f aca="true" t="shared" si="101" ref="AI73:AI86">(Y73-1024*0.0545)-(M73-1024+7.5)*1.031</f>
        <v>-26.802464450000116</v>
      </c>
      <c r="AJ73">
        <f t="shared" si="67"/>
        <v>-38.82098539999993</v>
      </c>
      <c r="AK73">
        <f t="shared" si="68"/>
        <v>-38.702456700000084</v>
      </c>
      <c r="AM73">
        <v>945</v>
      </c>
      <c r="AN73">
        <v>-1037.6</v>
      </c>
      <c r="AO73">
        <v>85.5</v>
      </c>
      <c r="AP73">
        <v>-856.4</v>
      </c>
      <c r="AQ73">
        <v>-15.6</v>
      </c>
      <c r="AS73">
        <v>-945</v>
      </c>
      <c r="AT73">
        <v>-78.7</v>
      </c>
      <c r="AU73">
        <v>1017.7</v>
      </c>
      <c r="AV73">
        <v>97.9</v>
      </c>
      <c r="AW73">
        <v>919.2</v>
      </c>
      <c r="BA73" s="17">
        <v>-669.323</v>
      </c>
      <c r="BB73" s="17">
        <v>-685.509</v>
      </c>
      <c r="BC73" s="17">
        <v>1019.16</v>
      </c>
      <c r="BD73" s="17">
        <v>1025.75</v>
      </c>
      <c r="BF73">
        <v>277</v>
      </c>
      <c r="BG73" t="s">
        <v>133</v>
      </c>
      <c r="BH73" t="s">
        <v>134</v>
      </c>
      <c r="BI73">
        <v>1800</v>
      </c>
      <c r="BJ73" s="7">
        <f t="shared" si="69"/>
        <v>0</v>
      </c>
      <c r="BK73">
        <v>1800</v>
      </c>
      <c r="BL73" s="7">
        <f t="shared" si="70"/>
        <v>0</v>
      </c>
      <c r="BM73">
        <v>306</v>
      </c>
      <c r="BN73">
        <v>306</v>
      </c>
      <c r="BP73">
        <f t="shared" si="71"/>
        <v>-875.323</v>
      </c>
      <c r="BQ73">
        <f t="shared" si="72"/>
        <v>-891.509</v>
      </c>
      <c r="BS73">
        <f t="shared" si="73"/>
        <v>1019.16</v>
      </c>
      <c r="BT73">
        <f t="shared" si="74"/>
        <v>1025.75</v>
      </c>
      <c r="BV73" s="7">
        <f t="shared" si="75"/>
        <v>911.9839968515199</v>
      </c>
      <c r="BW73" s="7">
        <f t="shared" si="76"/>
        <v>918.5476368515201</v>
      </c>
      <c r="BY73">
        <f t="shared" si="77"/>
        <v>-875.323</v>
      </c>
      <c r="BZ73">
        <f t="shared" si="78"/>
        <v>-891.509</v>
      </c>
      <c r="CA73">
        <f t="shared" si="79"/>
        <v>911.9839968515199</v>
      </c>
      <c r="CB73">
        <f t="shared" si="80"/>
        <v>918.5476368515201</v>
      </c>
      <c r="CD73" s="7">
        <f t="shared" si="85"/>
        <v>-39.01043185000003</v>
      </c>
      <c r="CE73" s="7">
        <f t="shared" si="85"/>
        <v>-39.08299254999986</v>
      </c>
      <c r="CF73" s="7">
        <f t="shared" si="86"/>
        <v>56.24913554848001</v>
      </c>
      <c r="CG73" s="7">
        <f t="shared" si="86"/>
        <v>56.36049884847989</v>
      </c>
      <c r="CI73" s="7">
        <f aca="true" t="shared" si="102" ref="CI73:CJ77">BY73*(-1)-(X73-1024*0.0545)*(-1)</f>
        <v>-65.88016499999992</v>
      </c>
      <c r="CJ73" s="7">
        <f t="shared" si="102"/>
        <v>-65.89576699999998</v>
      </c>
      <c r="CK73" s="7">
        <f t="shared" si="87"/>
        <v>-57.31297599148002</v>
      </c>
      <c r="CL73" s="7">
        <f t="shared" si="88"/>
        <v>-50.420207799479996</v>
      </c>
    </row>
    <row r="74" spans="1:90" ht="16.5">
      <c r="A74" s="1">
        <v>39860</v>
      </c>
      <c r="B74" s="13">
        <v>128.74062</v>
      </c>
      <c r="C74" s="13">
        <v>112.83321</v>
      </c>
      <c r="D74" s="13">
        <v>84.707492</v>
      </c>
      <c r="E74" s="13">
        <v>68.414987</v>
      </c>
      <c r="F74" s="13"/>
      <c r="G74" s="13">
        <v>1978.2746</v>
      </c>
      <c r="H74" s="13">
        <v>1984.2614</v>
      </c>
      <c r="I74" s="13">
        <v>67.943881</v>
      </c>
      <c r="J74" s="13">
        <v>74.00942</v>
      </c>
      <c r="L74">
        <f t="shared" si="89"/>
        <v>128.74062</v>
      </c>
      <c r="M74">
        <f t="shared" si="90"/>
        <v>112.83321</v>
      </c>
      <c r="N74">
        <f t="shared" si="91"/>
        <v>84.707492</v>
      </c>
      <c r="O74">
        <f t="shared" si="65"/>
        <v>68.414987</v>
      </c>
      <c r="Q74">
        <f t="shared" si="92"/>
        <v>1978.2746</v>
      </c>
      <c r="R74">
        <f t="shared" si="93"/>
        <v>1984.2614</v>
      </c>
      <c r="S74">
        <f t="shared" si="94"/>
        <v>67.943881</v>
      </c>
      <c r="T74">
        <f t="shared" si="66"/>
        <v>74.00942</v>
      </c>
      <c r="V74" s="7">
        <v>971.36427</v>
      </c>
      <c r="X74" s="2">
        <f t="shared" si="95"/>
        <v>-886.656778</v>
      </c>
      <c r="Y74" s="2">
        <f t="shared" si="96"/>
        <v>-902.949283</v>
      </c>
      <c r="Z74" s="2">
        <f t="shared" si="97"/>
        <v>1039.308151</v>
      </c>
      <c r="AA74" s="2">
        <f t="shared" si="98"/>
        <v>1045.3736900000001</v>
      </c>
      <c r="AC74">
        <f t="shared" si="99"/>
        <v>5.087030500000024</v>
      </c>
      <c r="AD74">
        <f t="shared" si="53"/>
        <v>14.580079499999929</v>
      </c>
      <c r="AH74">
        <f t="shared" si="100"/>
        <v>-27.18485722000014</v>
      </c>
      <c r="AI74">
        <f t="shared" si="101"/>
        <v>-27.07682251000017</v>
      </c>
      <c r="AJ74">
        <f t="shared" si="67"/>
        <v>-37.62260159999994</v>
      </c>
      <c r="AK74">
        <f t="shared" si="68"/>
        <v>-37.7294533999999</v>
      </c>
      <c r="AM74">
        <v>945</v>
      </c>
      <c r="AN74">
        <v>-1037.8</v>
      </c>
      <c r="AO74">
        <v>85.3</v>
      </c>
      <c r="AP74">
        <v>-856.8</v>
      </c>
      <c r="AQ74">
        <v>-15.4</v>
      </c>
      <c r="AS74">
        <v>-945</v>
      </c>
      <c r="AT74">
        <v>-78.7</v>
      </c>
      <c r="AU74">
        <v>1017.3</v>
      </c>
      <c r="AV74">
        <v>97.8</v>
      </c>
      <c r="AW74">
        <v>919.6</v>
      </c>
      <c r="BA74" s="17">
        <v>-622.249</v>
      </c>
      <c r="BB74" s="17">
        <v>-637.872</v>
      </c>
      <c r="BC74" s="17">
        <v>1025.32</v>
      </c>
      <c r="BD74" s="17">
        <v>1031.35</v>
      </c>
      <c r="BF74">
        <v>323</v>
      </c>
      <c r="BG74" t="s">
        <v>42</v>
      </c>
      <c r="BH74" t="s">
        <v>157</v>
      </c>
      <c r="BI74">
        <v>1800</v>
      </c>
      <c r="BJ74" s="7">
        <f t="shared" si="69"/>
        <v>0</v>
      </c>
      <c r="BK74">
        <v>1800</v>
      </c>
      <c r="BL74" s="7">
        <f t="shared" si="70"/>
        <v>0</v>
      </c>
      <c r="BM74">
        <v>256</v>
      </c>
      <c r="BN74">
        <v>256</v>
      </c>
      <c r="BP74">
        <f t="shared" si="71"/>
        <v>-878.249</v>
      </c>
      <c r="BQ74">
        <f t="shared" si="72"/>
        <v>-893.872</v>
      </c>
      <c r="BS74">
        <f t="shared" si="73"/>
        <v>1025.32</v>
      </c>
      <c r="BT74">
        <f t="shared" si="74"/>
        <v>1031.35</v>
      </c>
      <c r="BV74" s="7">
        <f t="shared" si="75"/>
        <v>918.11935685152</v>
      </c>
      <c r="BW74" s="7">
        <f t="shared" si="76"/>
        <v>924.1252368515201</v>
      </c>
      <c r="BY74">
        <f t="shared" si="77"/>
        <v>-878.249</v>
      </c>
      <c r="BZ74">
        <f t="shared" si="78"/>
        <v>-893.872</v>
      </c>
      <c r="CA74">
        <f t="shared" si="79"/>
        <v>918.11935685152</v>
      </c>
      <c r="CB74">
        <f t="shared" si="80"/>
        <v>924.1252368515201</v>
      </c>
      <c r="CD74" s="7">
        <f t="shared" si="85"/>
        <v>-37.020610779999856</v>
      </c>
      <c r="CE74" s="7">
        <f t="shared" si="85"/>
        <v>-37.79815049000001</v>
      </c>
      <c r="CF74" s="7">
        <f t="shared" si="86"/>
        <v>49.69539574847988</v>
      </c>
      <c r="CG74" s="7">
        <f t="shared" si="86"/>
        <v>49.861906548479965</v>
      </c>
      <c r="CI74" s="7">
        <f t="shared" si="102"/>
        <v>-64.215778</v>
      </c>
      <c r="CJ74" s="7">
        <f t="shared" si="102"/>
        <v>-64.88528300000007</v>
      </c>
      <c r="CK74" s="7">
        <f t="shared" si="87"/>
        <v>-49.95505206747993</v>
      </c>
      <c r="CL74" s="7">
        <f t="shared" si="88"/>
        <v>-43.86799215847984</v>
      </c>
    </row>
    <row r="75" spans="1:90" ht="16.5">
      <c r="A75" s="1">
        <v>39888</v>
      </c>
      <c r="B75" s="13">
        <v>126.36836</v>
      </c>
      <c r="C75" s="13">
        <v>111.89077</v>
      </c>
      <c r="D75" s="13">
        <v>75.74354</v>
      </c>
      <c r="E75" s="13">
        <v>60.727435</v>
      </c>
      <c r="F75" s="13"/>
      <c r="G75" s="13">
        <v>1979.3166</v>
      </c>
      <c r="H75" s="13">
        <v>1984.4313</v>
      </c>
      <c r="I75" s="13">
        <v>75.565533</v>
      </c>
      <c r="J75" s="13">
        <v>80.740371</v>
      </c>
      <c r="L75">
        <f t="shared" si="89"/>
        <v>126.36836</v>
      </c>
      <c r="M75">
        <f t="shared" si="90"/>
        <v>111.89077</v>
      </c>
      <c r="N75">
        <f t="shared" si="91"/>
        <v>75.74354</v>
      </c>
      <c r="O75">
        <f t="shared" si="65"/>
        <v>60.727435</v>
      </c>
      <c r="Q75">
        <f t="shared" si="92"/>
        <v>1979.3166</v>
      </c>
      <c r="R75">
        <f t="shared" si="93"/>
        <v>1984.4313</v>
      </c>
      <c r="S75">
        <f t="shared" si="94"/>
        <v>75.565533</v>
      </c>
      <c r="T75">
        <f t="shared" si="66"/>
        <v>80.740371</v>
      </c>
      <c r="V75" s="7">
        <v>964.76983</v>
      </c>
      <c r="X75" s="2">
        <f t="shared" si="95"/>
        <v>-889.02629</v>
      </c>
      <c r="Y75" s="2">
        <f t="shared" si="96"/>
        <v>-904.0423949999999</v>
      </c>
      <c r="Z75" s="2">
        <f t="shared" si="97"/>
        <v>1040.335363</v>
      </c>
      <c r="AA75" s="2">
        <f t="shared" si="98"/>
        <v>1045.510201</v>
      </c>
      <c r="AC75">
        <f t="shared" si="99"/>
        <v>6.818342500000027</v>
      </c>
      <c r="AD75">
        <f t="shared" si="53"/>
        <v>13.99821799999987</v>
      </c>
      <c r="AH75">
        <f t="shared" si="100"/>
        <v>-27.108569160000002</v>
      </c>
      <c r="AI75">
        <f t="shared" si="101"/>
        <v>-27.198278869999967</v>
      </c>
      <c r="AJ75">
        <f t="shared" si="67"/>
        <v>-37.66969160000019</v>
      </c>
      <c r="AK75">
        <f t="shared" si="68"/>
        <v>-37.76810929999988</v>
      </c>
      <c r="AM75">
        <v>945</v>
      </c>
      <c r="AN75">
        <v>-1037</v>
      </c>
      <c r="AO75">
        <v>85</v>
      </c>
      <c r="AP75">
        <v>-856.8</v>
      </c>
      <c r="AQ75">
        <v>-14.9</v>
      </c>
      <c r="AS75">
        <v>-945</v>
      </c>
      <c r="AT75">
        <v>-78.5</v>
      </c>
      <c r="AU75">
        <v>1016.9</v>
      </c>
      <c r="AV75">
        <v>97.4</v>
      </c>
      <c r="AW75">
        <v>920.2</v>
      </c>
      <c r="BA75" s="17">
        <v>-677.056</v>
      </c>
      <c r="BB75" s="17">
        <v>-692.015</v>
      </c>
      <c r="BC75" s="17">
        <v>1032.28</v>
      </c>
      <c r="BD75" s="17">
        <v>1037.46</v>
      </c>
      <c r="BF75">
        <v>265</v>
      </c>
      <c r="BG75" t="s">
        <v>147</v>
      </c>
      <c r="BH75" t="s">
        <v>157</v>
      </c>
      <c r="BI75">
        <v>1800</v>
      </c>
      <c r="BJ75" s="7">
        <f t="shared" si="69"/>
        <v>0</v>
      </c>
      <c r="BK75">
        <v>1800</v>
      </c>
      <c r="BL75" s="7">
        <f t="shared" si="70"/>
        <v>0</v>
      </c>
      <c r="BM75">
        <v>306</v>
      </c>
      <c r="BN75">
        <v>306</v>
      </c>
      <c r="BP75">
        <f t="shared" si="71"/>
        <v>-883.056</v>
      </c>
      <c r="BQ75">
        <f t="shared" si="72"/>
        <v>-898.015</v>
      </c>
      <c r="BS75">
        <f t="shared" si="73"/>
        <v>1032.28</v>
      </c>
      <c r="BT75">
        <f t="shared" si="74"/>
        <v>1037.46</v>
      </c>
      <c r="BV75" s="7">
        <f t="shared" si="75"/>
        <v>925.0515168515201</v>
      </c>
      <c r="BW75" s="7">
        <f t="shared" si="76"/>
        <v>930.2107968515202</v>
      </c>
      <c r="BY75">
        <f t="shared" si="77"/>
        <v>-883.056</v>
      </c>
      <c r="BZ75">
        <f t="shared" si="78"/>
        <v>-898.015</v>
      </c>
      <c r="CA75">
        <f t="shared" si="79"/>
        <v>925.0515168515201</v>
      </c>
      <c r="CB75">
        <f t="shared" si="80"/>
        <v>930.2107968515202</v>
      </c>
      <c r="CD75" s="7">
        <f t="shared" si="85"/>
        <v>-34.659410839999964</v>
      </c>
      <c r="CE75" s="7">
        <f t="shared" si="85"/>
        <v>-34.62680612999998</v>
      </c>
      <c r="CF75" s="7">
        <f t="shared" si="86"/>
        <v>43.83753774848003</v>
      </c>
      <c r="CG75" s="7">
        <f t="shared" si="86"/>
        <v>43.95151344847977</v>
      </c>
      <c r="CI75" s="7">
        <f t="shared" si="102"/>
        <v>-61.77828999999997</v>
      </c>
      <c r="CJ75" s="7">
        <f t="shared" si="102"/>
        <v>-61.83539499999995</v>
      </c>
      <c r="CK75" s="7">
        <f t="shared" si="87"/>
        <v>-43.03813849548012</v>
      </c>
      <c r="CL75" s="7">
        <f t="shared" si="88"/>
        <v>-37.81685621747972</v>
      </c>
    </row>
    <row r="76" spans="1:90" ht="16.5">
      <c r="A76" s="1">
        <v>39911</v>
      </c>
      <c r="B76" s="13">
        <v>124.82592</v>
      </c>
      <c r="C76" s="13">
        <v>111.05401</v>
      </c>
      <c r="D76" s="13">
        <v>66.452388</v>
      </c>
      <c r="E76" s="13">
        <v>52.239892</v>
      </c>
      <c r="F76" s="13"/>
      <c r="G76" s="13">
        <v>1979.2804</v>
      </c>
      <c r="H76" s="13">
        <v>1983.5803</v>
      </c>
      <c r="I76" s="13">
        <v>82.312426</v>
      </c>
      <c r="J76" s="13">
        <v>86.840643</v>
      </c>
      <c r="L76">
        <f t="shared" si="89"/>
        <v>124.82592</v>
      </c>
      <c r="M76">
        <f t="shared" si="90"/>
        <v>111.05401</v>
      </c>
      <c r="N76">
        <f t="shared" si="91"/>
        <v>66.452388</v>
      </c>
      <c r="O76">
        <f t="shared" si="65"/>
        <v>52.239892</v>
      </c>
      <c r="Q76">
        <f t="shared" si="92"/>
        <v>1979.2804</v>
      </c>
      <c r="R76">
        <f t="shared" si="93"/>
        <v>1983.5803</v>
      </c>
      <c r="S76">
        <f t="shared" si="94"/>
        <v>82.312426</v>
      </c>
      <c r="T76">
        <f t="shared" si="66"/>
        <v>86.840643</v>
      </c>
      <c r="V76" s="7">
        <v>958.44493</v>
      </c>
      <c r="X76" s="2">
        <f t="shared" si="95"/>
        <v>-891.992542</v>
      </c>
      <c r="Y76" s="2">
        <f t="shared" si="96"/>
        <v>-906.2050380000001</v>
      </c>
      <c r="Z76" s="2">
        <f t="shared" si="97"/>
        <v>1040.757356</v>
      </c>
      <c r="AA76" s="2">
        <f t="shared" si="98"/>
        <v>1045.285573</v>
      </c>
      <c r="AC76">
        <f t="shared" si="99"/>
        <v>9.382790000000055</v>
      </c>
      <c r="AD76">
        <f t="shared" si="53"/>
        <v>13.899535499999875</v>
      </c>
      <c r="AH76">
        <f t="shared" si="100"/>
        <v>-28.484565520000046</v>
      </c>
      <c r="AI76">
        <f t="shared" si="101"/>
        <v>-28.498222310000187</v>
      </c>
      <c r="AJ76">
        <f t="shared" si="67"/>
        <v>-37.21037639999997</v>
      </c>
      <c r="AK76">
        <f t="shared" si="68"/>
        <v>-37.11535629999992</v>
      </c>
      <c r="AM76">
        <v>945</v>
      </c>
      <c r="AN76">
        <v>-1036.4</v>
      </c>
      <c r="AO76">
        <v>84.2</v>
      </c>
      <c r="AP76">
        <v>-857.2</v>
      </c>
      <c r="AQ76">
        <v>-14.8</v>
      </c>
      <c r="AS76">
        <v>-945</v>
      </c>
      <c r="AT76">
        <v>-77.4</v>
      </c>
      <c r="AU76">
        <v>1016.4</v>
      </c>
      <c r="AV76">
        <v>97.3</v>
      </c>
      <c r="AW76">
        <v>920.4</v>
      </c>
      <c r="BA76" s="17">
        <v>-679.413</v>
      </c>
      <c r="BB76" s="17">
        <v>-693.238</v>
      </c>
      <c r="BC76" s="17">
        <v>1030.13</v>
      </c>
      <c r="BD76" s="17">
        <v>1034.48</v>
      </c>
      <c r="BF76">
        <v>272</v>
      </c>
      <c r="BG76" t="s">
        <v>135</v>
      </c>
      <c r="BH76" t="s">
        <v>57</v>
      </c>
      <c r="BI76">
        <v>1800</v>
      </c>
      <c r="BJ76" s="7">
        <f t="shared" si="69"/>
        <v>0</v>
      </c>
      <c r="BK76">
        <v>1800</v>
      </c>
      <c r="BL76" s="7">
        <f t="shared" si="70"/>
        <v>0</v>
      </c>
      <c r="BM76">
        <v>306</v>
      </c>
      <c r="BN76">
        <v>306</v>
      </c>
      <c r="BP76">
        <f t="shared" si="71"/>
        <v>-885.413</v>
      </c>
      <c r="BQ76">
        <f t="shared" si="72"/>
        <v>-899.238</v>
      </c>
      <c r="BS76">
        <f t="shared" si="73"/>
        <v>1030.13</v>
      </c>
      <c r="BT76">
        <f t="shared" si="74"/>
        <v>1034.48</v>
      </c>
      <c r="BV76" s="7">
        <f t="shared" si="75"/>
        <v>922.9101168515202</v>
      </c>
      <c r="BW76" s="7">
        <f t="shared" si="76"/>
        <v>927.2427168515201</v>
      </c>
      <c r="BY76">
        <f t="shared" si="77"/>
        <v>-885.413</v>
      </c>
      <c r="BZ76">
        <f t="shared" si="78"/>
        <v>-899.238</v>
      </c>
      <c r="CA76">
        <f t="shared" si="79"/>
        <v>922.9101168515202</v>
      </c>
      <c r="CB76">
        <f t="shared" si="80"/>
        <v>927.2427168515201</v>
      </c>
      <c r="CD76" s="7">
        <f t="shared" si="85"/>
        <v>-33.89266647999989</v>
      </c>
      <c r="CE76" s="7">
        <f t="shared" si="85"/>
        <v>-34.2665056899998</v>
      </c>
      <c r="CF76" s="7">
        <f t="shared" si="86"/>
        <v>45.94161554847983</v>
      </c>
      <c r="CG76" s="7">
        <f t="shared" si="86"/>
        <v>46.04221244847997</v>
      </c>
      <c r="CI76" s="7">
        <f t="shared" si="102"/>
        <v>-62.38754199999994</v>
      </c>
      <c r="CJ76" s="7">
        <f t="shared" si="102"/>
        <v>-62.775037999999995</v>
      </c>
      <c r="CK76" s="7">
        <f t="shared" si="87"/>
        <v>-44.70714151247976</v>
      </c>
      <c r="CL76" s="7">
        <f t="shared" si="88"/>
        <v>-40.13914668547986</v>
      </c>
    </row>
    <row r="77" spans="1:90" ht="16.5">
      <c r="A77" s="1">
        <v>39932</v>
      </c>
      <c r="B77" s="13">
        <v>122.32992</v>
      </c>
      <c r="C77" s="13">
        <v>109.10586</v>
      </c>
      <c r="D77" s="13">
        <v>60.127097</v>
      </c>
      <c r="E77" s="13">
        <v>46.450317</v>
      </c>
      <c r="F77" s="13"/>
      <c r="G77" s="13">
        <v>1979.6618</v>
      </c>
      <c r="H77" s="13">
        <v>1983.4098</v>
      </c>
      <c r="I77" s="13">
        <v>88.007776</v>
      </c>
      <c r="J77" s="13">
        <v>91.770221</v>
      </c>
      <c r="L77">
        <f t="shared" si="89"/>
        <v>122.32992</v>
      </c>
      <c r="M77">
        <f t="shared" si="90"/>
        <v>109.10586</v>
      </c>
      <c r="N77">
        <f t="shared" si="91"/>
        <v>60.127097</v>
      </c>
      <c r="O77">
        <f t="shared" si="65"/>
        <v>46.450317</v>
      </c>
      <c r="Q77">
        <f t="shared" si="92"/>
        <v>1979.6618</v>
      </c>
      <c r="R77">
        <f t="shared" si="93"/>
        <v>1983.4098</v>
      </c>
      <c r="S77">
        <f t="shared" si="94"/>
        <v>88.007776</v>
      </c>
      <c r="T77">
        <f t="shared" si="66"/>
        <v>91.770221</v>
      </c>
      <c r="V77" s="7">
        <v>952.93853</v>
      </c>
      <c r="X77" s="2">
        <f t="shared" si="95"/>
        <v>-892.811433</v>
      </c>
      <c r="Y77" s="2">
        <f t="shared" si="96"/>
        <v>-906.488213</v>
      </c>
      <c r="Z77" s="2">
        <f t="shared" si="97"/>
        <v>1040.946306</v>
      </c>
      <c r="AA77" s="2">
        <f t="shared" si="98"/>
        <v>1044.7087510000001</v>
      </c>
      <c r="AC77">
        <f t="shared" si="99"/>
        <v>9.933823000000016</v>
      </c>
      <c r="AD77">
        <f t="shared" si="53"/>
        <v>14.093471499999996</v>
      </c>
      <c r="AH77">
        <f t="shared" si="100"/>
        <v>-26.73008052</v>
      </c>
      <c r="AI77">
        <f t="shared" si="101"/>
        <v>-26.772854660000007</v>
      </c>
      <c r="AJ77">
        <f t="shared" si="67"/>
        <v>-37.41464980000001</v>
      </c>
      <c r="AK77">
        <f t="shared" si="68"/>
        <v>-37.51639279999972</v>
      </c>
      <c r="AM77">
        <v>945</v>
      </c>
      <c r="AN77">
        <v>-1036.4</v>
      </c>
      <c r="AO77">
        <v>84.4</v>
      </c>
      <c r="AP77">
        <v>-857.3</v>
      </c>
      <c r="AQ77">
        <v>-14.2</v>
      </c>
      <c r="AS77">
        <v>-945</v>
      </c>
      <c r="AT77">
        <v>-77.5</v>
      </c>
      <c r="AU77">
        <v>1016.1</v>
      </c>
      <c r="AV77">
        <v>97.2</v>
      </c>
      <c r="AW77">
        <v>920.6</v>
      </c>
      <c r="BA77" s="17">
        <v>-683.454</v>
      </c>
      <c r="BB77" s="17">
        <v>-697.199</v>
      </c>
      <c r="BC77" s="17">
        <v>1028.93</v>
      </c>
      <c r="BD77" s="17">
        <v>1032.7</v>
      </c>
      <c r="BF77">
        <v>271</v>
      </c>
      <c r="BG77" t="s">
        <v>136</v>
      </c>
      <c r="BH77" t="s">
        <v>152</v>
      </c>
      <c r="BI77">
        <v>1800</v>
      </c>
      <c r="BJ77" s="7">
        <f t="shared" si="69"/>
        <v>0</v>
      </c>
      <c r="BK77">
        <v>1800</v>
      </c>
      <c r="BL77" s="7">
        <f t="shared" si="70"/>
        <v>0</v>
      </c>
      <c r="BM77">
        <v>306</v>
      </c>
      <c r="BN77">
        <v>306</v>
      </c>
      <c r="BP77">
        <f t="shared" si="71"/>
        <v>-889.454</v>
      </c>
      <c r="BQ77">
        <f t="shared" si="72"/>
        <v>-903.199</v>
      </c>
      <c r="BS77">
        <f t="shared" si="73"/>
        <v>1028.93</v>
      </c>
      <c r="BT77">
        <f t="shared" si="74"/>
        <v>1032.7</v>
      </c>
      <c r="BV77" s="7">
        <f t="shared" si="75"/>
        <v>921.7149168515202</v>
      </c>
      <c r="BW77" s="7">
        <f t="shared" si="76"/>
        <v>925.4698368515202</v>
      </c>
      <c r="BY77">
        <f t="shared" si="77"/>
        <v>-889.454</v>
      </c>
      <c r="BZ77">
        <f t="shared" si="78"/>
        <v>-903.199</v>
      </c>
      <c r="CA77">
        <f t="shared" si="79"/>
        <v>921.7149168515202</v>
      </c>
      <c r="CB77">
        <f t="shared" si="80"/>
        <v>925.4698368515202</v>
      </c>
      <c r="CD77" s="7">
        <f t="shared" si="85"/>
        <v>-32.42504248</v>
      </c>
      <c r="CE77" s="7">
        <f t="shared" si="85"/>
        <v>-32.31404834</v>
      </c>
      <c r="CF77" s="7">
        <f t="shared" si="86"/>
        <v>47.53003894847984</v>
      </c>
      <c r="CG77" s="7">
        <f t="shared" si="86"/>
        <v>47.63930694847966</v>
      </c>
      <c r="CI77" s="7">
        <f t="shared" si="102"/>
        <v>-59.16543300000001</v>
      </c>
      <c r="CJ77" s="7">
        <f t="shared" si="102"/>
        <v>-59.09721300000001</v>
      </c>
      <c r="CK77" s="7">
        <f t="shared" si="87"/>
        <v>-46.10075746247979</v>
      </c>
      <c r="CL77" s="7">
        <f t="shared" si="88"/>
        <v>-42.330944667479535</v>
      </c>
    </row>
    <row r="78" spans="1:75" ht="16.5">
      <c r="A78" s="1">
        <v>39939</v>
      </c>
      <c r="B78" s="13">
        <v>123.09326</v>
      </c>
      <c r="C78" s="13">
        <v>110.0888</v>
      </c>
      <c r="D78" s="13">
        <v>57.384771</v>
      </c>
      <c r="E78" s="13">
        <v>43.999552</v>
      </c>
      <c r="F78" s="13"/>
      <c r="G78" s="13">
        <v>1979.4805</v>
      </c>
      <c r="H78" s="13">
        <v>1983.1624</v>
      </c>
      <c r="I78" s="13">
        <v>90.431247</v>
      </c>
      <c r="J78" s="13">
        <v>94.040725</v>
      </c>
      <c r="L78">
        <f t="shared" si="89"/>
        <v>123.09326</v>
      </c>
      <c r="M78">
        <f t="shared" si="90"/>
        <v>110.0888</v>
      </c>
      <c r="N78">
        <f t="shared" si="91"/>
        <v>57.384771</v>
      </c>
      <c r="O78">
        <f t="shared" si="65"/>
        <v>43.999552</v>
      </c>
      <c r="Q78">
        <f t="shared" si="92"/>
        <v>1979.4805</v>
      </c>
      <c r="R78">
        <f t="shared" si="93"/>
        <v>1983.1624</v>
      </c>
      <c r="S78">
        <f t="shared" si="94"/>
        <v>90.431247</v>
      </c>
      <c r="T78">
        <f t="shared" si="66"/>
        <v>94.040725</v>
      </c>
      <c r="V78" s="7">
        <v>951.27924</v>
      </c>
      <c r="X78" s="2">
        <f t="shared" si="95"/>
        <v>-893.894469</v>
      </c>
      <c r="Y78" s="2">
        <f t="shared" si="96"/>
        <v>-907.279688</v>
      </c>
      <c r="Z78" s="2">
        <f t="shared" si="97"/>
        <v>1041.710487</v>
      </c>
      <c r="AA78" s="2">
        <f t="shared" si="98"/>
        <v>1045.319965</v>
      </c>
      <c r="AC78">
        <f t="shared" si="99"/>
        <v>10.871078500000008</v>
      </c>
      <c r="AD78">
        <f t="shared" si="53"/>
        <v>13.405773999999983</v>
      </c>
      <c r="AH78">
        <f t="shared" si="100"/>
        <v>-28.600120059999995</v>
      </c>
      <c r="AI78">
        <f t="shared" si="101"/>
        <v>-28.577740800000015</v>
      </c>
      <c r="AJ78">
        <f t="shared" si="67"/>
        <v>-36.463548499999774</v>
      </c>
      <c r="AK78">
        <f t="shared" si="68"/>
        <v>-36.65010940000002</v>
      </c>
      <c r="AM78">
        <v>945</v>
      </c>
      <c r="AN78">
        <v>-1036.3</v>
      </c>
      <c r="AO78">
        <v>83.9</v>
      </c>
      <c r="AP78">
        <v>-857.6</v>
      </c>
      <c r="AQ78">
        <v>-14.3</v>
      </c>
      <c r="AS78">
        <v>-945</v>
      </c>
      <c r="AT78">
        <v>-77.2</v>
      </c>
      <c r="AU78">
        <v>1016</v>
      </c>
      <c r="AV78">
        <v>96.9</v>
      </c>
      <c r="AW78">
        <v>920.8</v>
      </c>
      <c r="BV78" s="7"/>
      <c r="BW78" s="7"/>
    </row>
    <row r="79" spans="1:51" ht="16.5">
      <c r="A79" s="1">
        <v>39941</v>
      </c>
      <c r="B79" s="13">
        <v>121.28643</v>
      </c>
      <c r="C79" s="13">
        <v>109.39562</v>
      </c>
      <c r="D79" s="13">
        <v>56.037488</v>
      </c>
      <c r="E79" s="13">
        <v>43.580121</v>
      </c>
      <c r="F79" s="13"/>
      <c r="G79" s="13">
        <v>1979.939</v>
      </c>
      <c r="H79" s="13">
        <v>1982.8773</v>
      </c>
      <c r="I79" s="13">
        <v>91.720816</v>
      </c>
      <c r="J79" s="13">
        <v>94.528427</v>
      </c>
      <c r="L79">
        <f t="shared" si="89"/>
        <v>121.28643</v>
      </c>
      <c r="M79">
        <f t="shared" si="90"/>
        <v>109.39562</v>
      </c>
      <c r="N79">
        <f t="shared" si="91"/>
        <v>56.037488</v>
      </c>
      <c r="O79">
        <f t="shared" si="65"/>
        <v>43.580121</v>
      </c>
      <c r="Q79">
        <f t="shared" si="92"/>
        <v>1979.939</v>
      </c>
      <c r="R79">
        <f t="shared" si="93"/>
        <v>1982.8773</v>
      </c>
      <c r="S79">
        <f t="shared" si="94"/>
        <v>91.720816</v>
      </c>
      <c r="T79">
        <f t="shared" si="66"/>
        <v>94.528427</v>
      </c>
      <c r="V79" s="7">
        <v>950.82737</v>
      </c>
      <c r="X79" s="2">
        <f t="shared" si="95"/>
        <v>-894.7898819999999</v>
      </c>
      <c r="Y79" s="2">
        <f t="shared" si="96"/>
        <v>-907.247249</v>
      </c>
      <c r="Z79" s="2">
        <f t="shared" si="97"/>
        <v>1042.548186</v>
      </c>
      <c r="AA79" s="2">
        <f t="shared" si="98"/>
        <v>1045.355797</v>
      </c>
      <c r="AC79">
        <f t="shared" si="99"/>
        <v>11.30256550000007</v>
      </c>
      <c r="AD79">
        <f t="shared" si="53"/>
        <v>12.969008499999891</v>
      </c>
      <c r="AH79">
        <f t="shared" si="100"/>
        <v>-27.632691329999943</v>
      </c>
      <c r="AI79">
        <f t="shared" si="101"/>
        <v>-27.830633220000095</v>
      </c>
      <c r="AJ79">
        <f t="shared" si="67"/>
        <v>-36.09856300000001</v>
      </c>
      <c r="AK79">
        <f t="shared" si="68"/>
        <v>-36.320339300000114</v>
      </c>
      <c r="AM79">
        <v>945</v>
      </c>
      <c r="AN79">
        <v>-1035.5</v>
      </c>
      <c r="AO79">
        <v>83.6</v>
      </c>
      <c r="AP79">
        <v>-858.1</v>
      </c>
      <c r="AQ79">
        <v>-14</v>
      </c>
      <c r="AS79">
        <v>-945</v>
      </c>
      <c r="AT79">
        <v>-76.8</v>
      </c>
      <c r="AU79">
        <v>1015.6</v>
      </c>
      <c r="AV79">
        <v>96.3</v>
      </c>
      <c r="AW79">
        <v>921.2</v>
      </c>
      <c r="AY79" t="s">
        <v>76</v>
      </c>
    </row>
    <row r="80" spans="1:51" ht="16.5">
      <c r="A80" s="1">
        <v>39943</v>
      </c>
      <c r="B80" s="13">
        <v>116.02749</v>
      </c>
      <c r="C80" s="13">
        <v>107.71009</v>
      </c>
      <c r="D80" s="13">
        <v>49.82417</v>
      </c>
      <c r="E80" s="13">
        <v>41.22212</v>
      </c>
      <c r="F80" s="13"/>
      <c r="G80" s="13">
        <v>1982.6904</v>
      </c>
      <c r="H80" s="13">
        <v>1982.1937</v>
      </c>
      <c r="I80" s="13">
        <v>94.292544</v>
      </c>
      <c r="J80" s="13">
        <v>93.69204</v>
      </c>
      <c r="L80">
        <f t="shared" si="89"/>
        <v>116.02749</v>
      </c>
      <c r="M80">
        <f t="shared" si="90"/>
        <v>107.71009</v>
      </c>
      <c r="N80">
        <f t="shared" si="91"/>
        <v>49.82417</v>
      </c>
      <c r="O80">
        <f t="shared" si="65"/>
        <v>41.22212</v>
      </c>
      <c r="Q80">
        <f t="shared" si="92"/>
        <v>1982.6904</v>
      </c>
      <c r="R80">
        <f t="shared" si="93"/>
        <v>1982.1937</v>
      </c>
      <c r="S80">
        <f t="shared" si="94"/>
        <v>94.292544</v>
      </c>
      <c r="T80">
        <f t="shared" si="66"/>
        <v>93.69204</v>
      </c>
      <c r="V80" s="7">
        <v>950.38626</v>
      </c>
      <c r="X80" s="2">
        <f t="shared" si="95"/>
        <v>-900.56209</v>
      </c>
      <c r="Y80" s="2">
        <f t="shared" si="96"/>
        <v>-909.16414</v>
      </c>
      <c r="Z80" s="2">
        <f t="shared" si="97"/>
        <v>1044.678804</v>
      </c>
      <c r="AA80" s="2">
        <f t="shared" si="98"/>
        <v>1044.0783</v>
      </c>
      <c r="AC80">
        <f t="shared" si="99"/>
        <v>15.14711500000004</v>
      </c>
      <c r="AD80">
        <f t="shared" si="53"/>
        <v>12.542448000000068</v>
      </c>
      <c r="AH80">
        <f t="shared" si="100"/>
        <v>-27.982932190000042</v>
      </c>
      <c r="AI80">
        <f t="shared" si="101"/>
        <v>-28.009742790000132</v>
      </c>
      <c r="AJ80">
        <f t="shared" si="67"/>
        <v>-36.804638400000044</v>
      </c>
      <c r="AK80">
        <f t="shared" si="68"/>
        <v>-36.89304470000013</v>
      </c>
      <c r="AM80">
        <v>945</v>
      </c>
      <c r="AN80">
        <v>-1033.5</v>
      </c>
      <c r="AO80">
        <v>82.8</v>
      </c>
      <c r="AP80">
        <v>-860</v>
      </c>
      <c r="AQ80">
        <v>-12.4</v>
      </c>
      <c r="AS80">
        <v>-945</v>
      </c>
      <c r="AT80">
        <v>-74.4</v>
      </c>
      <c r="AU80">
        <v>1013.8</v>
      </c>
      <c r="AV80">
        <v>94.3</v>
      </c>
      <c r="AW80">
        <v>922.7</v>
      </c>
      <c r="AY80" t="s">
        <v>76</v>
      </c>
    </row>
    <row r="81" spans="1:51" ht="16.5">
      <c r="A81" s="1">
        <v>39947</v>
      </c>
      <c r="B81" s="13">
        <v>107.80398</v>
      </c>
      <c r="C81" s="13">
        <v>103.20801</v>
      </c>
      <c r="D81" s="13">
        <v>40.826811</v>
      </c>
      <c r="E81" s="13">
        <v>36.450034</v>
      </c>
      <c r="F81" s="13"/>
      <c r="G81" s="13">
        <v>1984.9725</v>
      </c>
      <c r="H81" s="13">
        <v>1981.6864</v>
      </c>
      <c r="I81" s="13">
        <v>98.82973</v>
      </c>
      <c r="J81" s="13">
        <v>94.882966</v>
      </c>
      <c r="L81">
        <f t="shared" si="89"/>
        <v>107.80398</v>
      </c>
      <c r="M81">
        <f t="shared" si="90"/>
        <v>103.20801</v>
      </c>
      <c r="N81">
        <f t="shared" si="91"/>
        <v>40.826811</v>
      </c>
      <c r="O81">
        <f t="shared" si="65"/>
        <v>36.450034</v>
      </c>
      <c r="Q81">
        <f t="shared" si="92"/>
        <v>1984.9725</v>
      </c>
      <c r="R81">
        <f t="shared" si="93"/>
        <v>1981.6864</v>
      </c>
      <c r="S81">
        <f t="shared" si="94"/>
        <v>98.82973</v>
      </c>
      <c r="T81">
        <f t="shared" si="66"/>
        <v>94.882966</v>
      </c>
      <c r="V81" s="7">
        <v>949.53817</v>
      </c>
      <c r="X81" s="2">
        <f t="shared" si="95"/>
        <v>-908.711359</v>
      </c>
      <c r="Y81" s="2">
        <f t="shared" si="96"/>
        <v>-913.0881360000001</v>
      </c>
      <c r="Z81" s="2">
        <f t="shared" si="97"/>
        <v>1048.3679</v>
      </c>
      <c r="AA81" s="2">
        <f t="shared" si="98"/>
        <v>1044.421136</v>
      </c>
      <c r="AC81">
        <f t="shared" si="99"/>
        <v>21.18374750000015</v>
      </c>
      <c r="AD81">
        <f t="shared" si="53"/>
        <v>10.526481999999906</v>
      </c>
      <c r="AH81">
        <f t="shared" si="100"/>
        <v>-27.653762380000103</v>
      </c>
      <c r="AI81">
        <f t="shared" si="101"/>
        <v>-27.292094310000152</v>
      </c>
      <c r="AJ81">
        <f t="shared" si="67"/>
        <v>-35.46838750000006</v>
      </c>
      <c r="AK81">
        <f t="shared" si="68"/>
        <v>-36.02718240000013</v>
      </c>
      <c r="AM81">
        <v>945</v>
      </c>
      <c r="AN81">
        <v>-1031.6</v>
      </c>
      <c r="AO81">
        <v>80.4</v>
      </c>
      <c r="AP81">
        <v>-861.7</v>
      </c>
      <c r="AQ81">
        <v>-10.4</v>
      </c>
      <c r="AS81">
        <v>-945</v>
      </c>
      <c r="AT81">
        <v>-72.8</v>
      </c>
      <c r="AU81">
        <v>1012.4</v>
      </c>
      <c r="AV81">
        <v>92.4</v>
      </c>
      <c r="AW81">
        <v>924.8</v>
      </c>
      <c r="AY81" t="s">
        <v>76</v>
      </c>
    </row>
    <row r="82" spans="1:51" ht="16.5">
      <c r="A82" s="1">
        <v>39950</v>
      </c>
      <c r="B82" s="13">
        <v>103.26871</v>
      </c>
      <c r="C82" s="13">
        <v>100.24442</v>
      </c>
      <c r="D82" s="13">
        <v>35.754421</v>
      </c>
      <c r="E82" s="13">
        <v>33.019322</v>
      </c>
      <c r="F82" s="13"/>
      <c r="G82" s="13">
        <v>1987.9025</v>
      </c>
      <c r="H82" s="13">
        <v>1981.9152</v>
      </c>
      <c r="I82" s="13">
        <v>102.10801</v>
      </c>
      <c r="J82" s="13">
        <v>95.942759</v>
      </c>
      <c r="L82">
        <f t="shared" si="89"/>
        <v>103.26871</v>
      </c>
      <c r="M82">
        <f t="shared" si="90"/>
        <v>100.24442</v>
      </c>
      <c r="N82">
        <f t="shared" si="91"/>
        <v>35.754421</v>
      </c>
      <c r="O82">
        <f t="shared" si="65"/>
        <v>33.019322</v>
      </c>
      <c r="Q82">
        <f t="shared" si="92"/>
        <v>1987.9025</v>
      </c>
      <c r="R82">
        <f t="shared" si="93"/>
        <v>1981.9152</v>
      </c>
      <c r="S82">
        <f t="shared" si="94"/>
        <v>102.10801</v>
      </c>
      <c r="T82">
        <f t="shared" si="66"/>
        <v>95.942759</v>
      </c>
      <c r="V82" s="7">
        <v>948.93369</v>
      </c>
      <c r="X82" s="2">
        <f t="shared" si="95"/>
        <v>-913.179269</v>
      </c>
      <c r="Y82" s="2">
        <f t="shared" si="96"/>
        <v>-915.914368</v>
      </c>
      <c r="Z82" s="2">
        <f t="shared" si="97"/>
        <v>1051.0417</v>
      </c>
      <c r="AA82" s="2">
        <f t="shared" si="98"/>
        <v>1044.8764489999999</v>
      </c>
      <c r="AC82">
        <f t="shared" si="99"/>
        <v>24.830818500000017</v>
      </c>
      <c r="AD82">
        <f t="shared" si="53"/>
        <v>8.961925499999925</v>
      </c>
      <c r="AH82">
        <f t="shared" si="100"/>
        <v>-27.445809010000062</v>
      </c>
      <c r="AI82">
        <f t="shared" si="101"/>
        <v>-27.062865020000004</v>
      </c>
      <c r="AJ82">
        <f t="shared" si="67"/>
        <v>-35.81541749999985</v>
      </c>
      <c r="AK82">
        <f t="shared" si="68"/>
        <v>-35.80776219999996</v>
      </c>
      <c r="AM82">
        <v>945</v>
      </c>
      <c r="AN82">
        <v>-1030.9</v>
      </c>
      <c r="AO82">
        <v>79.2</v>
      </c>
      <c r="AP82">
        <v>-862.6</v>
      </c>
      <c r="AQ82">
        <v>-9.5</v>
      </c>
      <c r="AS82">
        <v>-945</v>
      </c>
      <c r="AT82">
        <v>-71.9</v>
      </c>
      <c r="AU82">
        <v>1010.9</v>
      </c>
      <c r="AV82">
        <v>91.8</v>
      </c>
      <c r="AW82">
        <v>925.8</v>
      </c>
      <c r="AY82" t="s">
        <v>76</v>
      </c>
    </row>
    <row r="83" spans="1:51" ht="16.5">
      <c r="A83" s="1">
        <v>39954</v>
      </c>
      <c r="B83" s="13">
        <v>100.68369</v>
      </c>
      <c r="C83" s="13">
        <v>98.501076</v>
      </c>
      <c r="D83" s="13">
        <v>32.098555</v>
      </c>
      <c r="E83" s="13">
        <v>29.967809</v>
      </c>
      <c r="F83" s="13"/>
      <c r="G83" s="13">
        <v>1988.7277</v>
      </c>
      <c r="H83" s="13">
        <v>1981.6512</v>
      </c>
      <c r="I83" s="13">
        <v>103.85316</v>
      </c>
      <c r="J83" s="13">
        <v>96.714676</v>
      </c>
      <c r="L83">
        <f t="shared" si="89"/>
        <v>100.68369</v>
      </c>
      <c r="M83">
        <f t="shared" si="90"/>
        <v>98.501076</v>
      </c>
      <c r="N83">
        <f t="shared" si="91"/>
        <v>32.098555</v>
      </c>
      <c r="O83">
        <f t="shared" si="65"/>
        <v>29.967809</v>
      </c>
      <c r="Q83">
        <f t="shared" si="92"/>
        <v>1988.7277</v>
      </c>
      <c r="R83">
        <f t="shared" si="93"/>
        <v>1981.6512</v>
      </c>
      <c r="S83">
        <f t="shared" si="94"/>
        <v>103.85316</v>
      </c>
      <c r="T83">
        <f t="shared" si="66"/>
        <v>96.714676</v>
      </c>
      <c r="V83" s="7">
        <v>948.1725</v>
      </c>
      <c r="X83" s="2">
        <f t="shared" si="95"/>
        <v>-916.073945</v>
      </c>
      <c r="Y83" s="2">
        <f t="shared" si="96"/>
        <v>-918.204691</v>
      </c>
      <c r="Z83" s="2">
        <f t="shared" si="97"/>
        <v>1052.02566</v>
      </c>
      <c r="AA83" s="2">
        <f t="shared" si="98"/>
        <v>1044.887176</v>
      </c>
      <c r="AC83">
        <f t="shared" si="99"/>
        <v>27.423318000000048</v>
      </c>
      <c r="AD83">
        <f t="shared" si="53"/>
        <v>8.464581999999982</v>
      </c>
      <c r="AH83">
        <f t="shared" si="100"/>
        <v>-27.67532939</v>
      </c>
      <c r="AI83">
        <f t="shared" si="101"/>
        <v>-27.555800356000077</v>
      </c>
      <c r="AJ83">
        <f t="shared" si="67"/>
        <v>-35.68223869999986</v>
      </c>
      <c r="AK83">
        <f t="shared" si="68"/>
        <v>-35.52485120000006</v>
      </c>
      <c r="AM83">
        <v>945</v>
      </c>
      <c r="AN83">
        <v>-1030.2</v>
      </c>
      <c r="AO83">
        <v>78.8</v>
      </c>
      <c r="AP83">
        <v>-862.9</v>
      </c>
      <c r="AQ83">
        <v>-8.8</v>
      </c>
      <c r="AS83">
        <v>-945</v>
      </c>
      <c r="AT83">
        <v>-71.5</v>
      </c>
      <c r="AU83">
        <v>1010.7</v>
      </c>
      <c r="AV83">
        <v>91.2</v>
      </c>
      <c r="AW83">
        <v>926.2</v>
      </c>
      <c r="AY83" t="s">
        <v>76</v>
      </c>
    </row>
    <row r="84" spans="1:51" ht="16.5">
      <c r="A84" s="1">
        <v>39959</v>
      </c>
      <c r="B84" s="13">
        <v>97.675103</v>
      </c>
      <c r="C84" s="13">
        <v>96.908039</v>
      </c>
      <c r="D84" s="13">
        <v>27.785717</v>
      </c>
      <c r="E84" s="13">
        <v>26.887467</v>
      </c>
      <c r="F84" s="13"/>
      <c r="G84" s="13">
        <v>1989.8576</v>
      </c>
      <c r="H84" s="13">
        <v>1981.6153</v>
      </c>
      <c r="I84" s="13">
        <v>106.74299</v>
      </c>
      <c r="J84" s="13">
        <v>98.21366</v>
      </c>
      <c r="L84">
        <f t="shared" si="89"/>
        <v>97.675103</v>
      </c>
      <c r="M84">
        <f t="shared" si="90"/>
        <v>96.908039</v>
      </c>
      <c r="N84">
        <f t="shared" si="91"/>
        <v>27.785717</v>
      </c>
      <c r="O84">
        <f t="shared" si="65"/>
        <v>26.887467</v>
      </c>
      <c r="Q84">
        <f t="shared" si="92"/>
        <v>1989.8576</v>
      </c>
      <c r="R84">
        <f t="shared" si="93"/>
        <v>1981.6153</v>
      </c>
      <c r="S84">
        <f t="shared" si="94"/>
        <v>106.74299</v>
      </c>
      <c r="T84">
        <f t="shared" si="66"/>
        <v>98.21366</v>
      </c>
      <c r="V84" s="7">
        <v>947.29731</v>
      </c>
      <c r="X84" s="2">
        <f t="shared" si="95"/>
        <v>-919.5115930000001</v>
      </c>
      <c r="Y84" s="2">
        <f t="shared" si="96"/>
        <v>-920.409843</v>
      </c>
      <c r="Z84" s="2">
        <f t="shared" si="97"/>
        <v>1054.0403000000001</v>
      </c>
      <c r="AA84" s="2">
        <f t="shared" si="98"/>
        <v>1045.51097</v>
      </c>
      <c r="AC84">
        <f t="shared" si="99"/>
        <v>30.244718000000088</v>
      </c>
      <c r="AD84">
        <f t="shared" si="53"/>
        <v>7.145365000000002</v>
      </c>
      <c r="AH84">
        <f t="shared" si="100"/>
        <v>-28.011124193000114</v>
      </c>
      <c r="AI84">
        <f t="shared" si="101"/>
        <v>-28.11853120900014</v>
      </c>
      <c r="AJ84">
        <f t="shared" si="67"/>
        <v>-34.83252559999994</v>
      </c>
      <c r="AK84">
        <f t="shared" si="68"/>
        <v>-34.86404429999982</v>
      </c>
      <c r="AM84">
        <v>945</v>
      </c>
      <c r="AN84">
        <v>-1029.8</v>
      </c>
      <c r="AO84">
        <v>77.8</v>
      </c>
      <c r="AP84">
        <v>-863.8</v>
      </c>
      <c r="AQ84">
        <v>-8.1</v>
      </c>
      <c r="AS84">
        <v>-945</v>
      </c>
      <c r="AT84">
        <v>-70.9</v>
      </c>
      <c r="AU84">
        <v>1009.7</v>
      </c>
      <c r="AV84">
        <v>90.7</v>
      </c>
      <c r="AW84">
        <v>926.7</v>
      </c>
      <c r="AY84" t="s">
        <v>76</v>
      </c>
    </row>
    <row r="85" spans="1:51" ht="16.5">
      <c r="A85" s="1">
        <v>39965</v>
      </c>
      <c r="B85" s="13">
        <v>94.749717</v>
      </c>
      <c r="C85" s="13">
        <v>94.628499</v>
      </c>
      <c r="D85" s="13">
        <v>24.788214</v>
      </c>
      <c r="E85" s="13">
        <v>24.336238</v>
      </c>
      <c r="F85" s="13"/>
      <c r="G85" s="13">
        <v>1991.2423</v>
      </c>
      <c r="H85" s="13">
        <v>1982.0052</v>
      </c>
      <c r="I85" s="13">
        <v>108.91632</v>
      </c>
      <c r="J85" s="13">
        <v>99.313251</v>
      </c>
      <c r="L85">
        <f t="shared" si="89"/>
        <v>94.749717</v>
      </c>
      <c r="M85">
        <f t="shared" si="90"/>
        <v>94.628499</v>
      </c>
      <c r="N85">
        <f t="shared" si="91"/>
        <v>24.788214</v>
      </c>
      <c r="O85">
        <f t="shared" si="65"/>
        <v>24.336238</v>
      </c>
      <c r="Q85">
        <f t="shared" si="92"/>
        <v>1991.2423</v>
      </c>
      <c r="R85">
        <f t="shared" si="93"/>
        <v>1982.0052</v>
      </c>
      <c r="S85">
        <f t="shared" si="94"/>
        <v>108.91632</v>
      </c>
      <c r="T85">
        <f t="shared" si="66"/>
        <v>99.313251</v>
      </c>
      <c r="V85" s="7">
        <v>946.36619</v>
      </c>
      <c r="X85" s="2">
        <f t="shared" si="95"/>
        <v>-921.5779759999999</v>
      </c>
      <c r="Y85" s="2">
        <f t="shared" si="96"/>
        <v>-922.029952</v>
      </c>
      <c r="Z85" s="2">
        <f t="shared" si="97"/>
        <v>1055.28251</v>
      </c>
      <c r="AA85" s="2">
        <f t="shared" si="98"/>
        <v>1045.679441</v>
      </c>
      <c r="AC85">
        <f t="shared" si="99"/>
        <v>32.087964</v>
      </c>
      <c r="AD85">
        <f t="shared" si="53"/>
        <v>6.440024499999854</v>
      </c>
      <c r="AH85">
        <f t="shared" si="100"/>
        <v>-27.061434227000063</v>
      </c>
      <c r="AI85">
        <f t="shared" si="101"/>
        <v>-27.388434469000117</v>
      </c>
      <c r="AJ85">
        <f t="shared" si="67"/>
        <v>-35.01794129999985</v>
      </c>
      <c r="AK85">
        <f t="shared" si="68"/>
        <v>-35.097560199999975</v>
      </c>
      <c r="AM85">
        <v>945</v>
      </c>
      <c r="AN85">
        <v>-1029.4</v>
      </c>
      <c r="AO85">
        <v>77.2</v>
      </c>
      <c r="AP85">
        <v>-864.2</v>
      </c>
      <c r="AQ85">
        <v>-7.4</v>
      </c>
      <c r="AS85">
        <v>-945</v>
      </c>
      <c r="AT85">
        <v>-70.5</v>
      </c>
      <c r="AU85">
        <v>1009.4</v>
      </c>
      <c r="AV85">
        <v>90.3</v>
      </c>
      <c r="AW85">
        <v>927.6</v>
      </c>
      <c r="AY85" t="s">
        <v>76</v>
      </c>
    </row>
    <row r="86" spans="1:51" ht="16.5">
      <c r="A86" s="1">
        <v>39972</v>
      </c>
      <c r="B86" s="13">
        <v>91.399729</v>
      </c>
      <c r="C86" s="13">
        <v>92.669284</v>
      </c>
      <c r="D86" s="13">
        <v>20.7821</v>
      </c>
      <c r="E86" s="13">
        <v>21.750228</v>
      </c>
      <c r="F86" s="13"/>
      <c r="G86" s="13">
        <v>1993.1884</v>
      </c>
      <c r="H86" s="13">
        <v>1982.7267</v>
      </c>
      <c r="I86" s="13">
        <v>111.71278</v>
      </c>
      <c r="J86" s="13">
        <v>100.72206</v>
      </c>
      <c r="L86">
        <f t="shared" si="89"/>
        <v>91.399729</v>
      </c>
      <c r="M86">
        <f t="shared" si="90"/>
        <v>92.669284</v>
      </c>
      <c r="N86">
        <f t="shared" si="91"/>
        <v>20.7821</v>
      </c>
      <c r="O86">
        <f t="shared" si="65"/>
        <v>21.750228</v>
      </c>
      <c r="Q86">
        <f t="shared" si="92"/>
        <v>1993.1884</v>
      </c>
      <c r="R86">
        <f t="shared" si="93"/>
        <v>1982.7267</v>
      </c>
      <c r="S86">
        <f t="shared" si="94"/>
        <v>111.71278</v>
      </c>
      <c r="T86">
        <f t="shared" si="66"/>
        <v>100.72206</v>
      </c>
      <c r="V86" s="7">
        <v>945.45451</v>
      </c>
      <c r="X86" s="2">
        <f t="shared" si="95"/>
        <v>-924.67241</v>
      </c>
      <c r="Y86" s="2">
        <f t="shared" si="96"/>
        <v>-923.704282</v>
      </c>
      <c r="Z86" s="2">
        <f t="shared" si="97"/>
        <v>1057.16729</v>
      </c>
      <c r="AA86" s="2">
        <f t="shared" si="98"/>
        <v>1046.17657</v>
      </c>
      <c r="AC86">
        <f t="shared" si="99"/>
        <v>34.47234600000007</v>
      </c>
      <c r="AD86">
        <f t="shared" si="53"/>
        <v>5.249069999999993</v>
      </c>
      <c r="AH86">
        <f t="shared" si="100"/>
        <v>-26.702030599000068</v>
      </c>
      <c r="AI86">
        <f t="shared" si="101"/>
        <v>-27.04281380400016</v>
      </c>
      <c r="AJ86">
        <f t="shared" si="67"/>
        <v>-35.13959039999986</v>
      </c>
      <c r="AK86">
        <f t="shared" si="68"/>
        <v>-35.344297699999856</v>
      </c>
      <c r="AM86">
        <v>945</v>
      </c>
      <c r="AN86">
        <v>-1028.7</v>
      </c>
      <c r="AO86">
        <v>76.8</v>
      </c>
      <c r="AP86">
        <v>-864.8</v>
      </c>
      <c r="AQ86">
        <v>-7</v>
      </c>
      <c r="AS86">
        <v>-945</v>
      </c>
      <c r="AT86">
        <v>-69.7</v>
      </c>
      <c r="AU86">
        <v>1008.8</v>
      </c>
      <c r="AV86">
        <v>89.8</v>
      </c>
      <c r="AW86">
        <v>928</v>
      </c>
      <c r="AY86" t="s">
        <v>76</v>
      </c>
    </row>
    <row r="87" spans="1:51" ht="16.5">
      <c r="A87" s="1">
        <v>39980</v>
      </c>
      <c r="B87" s="13"/>
      <c r="C87" s="13"/>
      <c r="D87" s="13"/>
      <c r="E87" s="13"/>
      <c r="F87" s="13"/>
      <c r="G87" s="13"/>
      <c r="H87" s="13"/>
      <c r="I87" s="13"/>
      <c r="J87" s="13"/>
      <c r="V87" s="7">
        <v>944.65614</v>
      </c>
      <c r="X87" s="2"/>
      <c r="Y87" s="2"/>
      <c r="Z87" s="2"/>
      <c r="AA87" s="2"/>
      <c r="AY87" t="s">
        <v>76</v>
      </c>
    </row>
    <row r="88" spans="1:51" ht="16.5">
      <c r="A88" s="1">
        <v>39987</v>
      </c>
      <c r="B88" s="13">
        <v>90.818333</v>
      </c>
      <c r="C88" s="13">
        <v>92.498886</v>
      </c>
      <c r="D88" s="13">
        <v>17.454364</v>
      </c>
      <c r="E88" s="13">
        <v>19.282061</v>
      </c>
      <c r="F88" s="13"/>
      <c r="G88" s="13">
        <v>1992.9061</v>
      </c>
      <c r="H88" s="13">
        <v>1981.7612</v>
      </c>
      <c r="I88" s="13">
        <v>113.4926</v>
      </c>
      <c r="J88" s="13">
        <v>101.91796</v>
      </c>
      <c r="L88">
        <f t="shared" si="89"/>
        <v>90.818333</v>
      </c>
      <c r="M88">
        <f t="shared" si="90"/>
        <v>92.498886</v>
      </c>
      <c r="N88">
        <f t="shared" si="91"/>
        <v>17.454364</v>
      </c>
      <c r="O88">
        <f aca="true" t="shared" si="103" ref="O88:O102">E88+(AM88-945)</f>
        <v>19.282061</v>
      </c>
      <c r="Q88">
        <f t="shared" si="92"/>
        <v>1992.9061</v>
      </c>
      <c r="R88">
        <f t="shared" si="93"/>
        <v>1981.7612</v>
      </c>
      <c r="S88">
        <f t="shared" si="94"/>
        <v>113.4926</v>
      </c>
      <c r="T88">
        <f aca="true" t="shared" si="104" ref="T88:T102">J88+(AS88+945)</f>
        <v>101.91796</v>
      </c>
      <c r="V88" s="7">
        <v>944.17999</v>
      </c>
      <c r="X88" s="2">
        <f t="shared" si="95"/>
        <v>-926.7256259999999</v>
      </c>
      <c r="Y88" s="2">
        <f t="shared" si="96"/>
        <v>-924.897929</v>
      </c>
      <c r="Z88" s="2">
        <f t="shared" si="97"/>
        <v>1057.67259</v>
      </c>
      <c r="AA88" s="2">
        <f t="shared" si="98"/>
        <v>1046.0979499999999</v>
      </c>
      <c r="AC88">
        <f t="shared" si="99"/>
        <v>36.0957775</v>
      </c>
      <c r="AD88">
        <f t="shared" si="53"/>
        <v>5.035730000000203</v>
      </c>
      <c r="AH88">
        <f aca="true" t="shared" si="105" ref="AH88:AI91">(X88-1024*0.0545)-(L88-1024+7.5)*1.031</f>
        <v>-28.155827322999926</v>
      </c>
      <c r="AI88">
        <f t="shared" si="105"/>
        <v>-28.060780465999983</v>
      </c>
      <c r="AJ88">
        <f>(Z88-2048*0.0545)-(Q88-1024-15.56)*1.031+2.5</f>
        <v>-34.343239100000005</v>
      </c>
      <c r="AK88">
        <f>(AA88-2048*0.0545)-(R88-1024-15.56)*1.031+2.5</f>
        <v>-34.42748719999997</v>
      </c>
      <c r="AM88">
        <v>945</v>
      </c>
      <c r="AN88">
        <v>-1028.4</v>
      </c>
      <c r="AO88">
        <v>76.4</v>
      </c>
      <c r="AP88">
        <v>-865</v>
      </c>
      <c r="AQ88">
        <v>-6.8</v>
      </c>
      <c r="AS88">
        <v>-945</v>
      </c>
      <c r="AT88">
        <v>-69.2</v>
      </c>
      <c r="AU88">
        <v>1008.2</v>
      </c>
      <c r="AV88">
        <v>89.5</v>
      </c>
      <c r="AW88">
        <v>928.1</v>
      </c>
      <c r="AY88" t="s">
        <v>76</v>
      </c>
    </row>
    <row r="89" spans="1:51" ht="16.5">
      <c r="A89" s="1">
        <v>39995</v>
      </c>
      <c r="B89" s="13">
        <v>91.06366</v>
      </c>
      <c r="C89" s="13">
        <v>92.291718</v>
      </c>
      <c r="D89" s="13">
        <v>18.154649</v>
      </c>
      <c r="E89" s="13">
        <v>19.238182</v>
      </c>
      <c r="F89" s="13"/>
      <c r="G89" s="13"/>
      <c r="H89" s="13"/>
      <c r="I89" s="13">
        <v>113.43282</v>
      </c>
      <c r="J89" s="13">
        <v>102.28877</v>
      </c>
      <c r="L89">
        <f t="shared" si="89"/>
        <v>91.06366</v>
      </c>
      <c r="M89">
        <f t="shared" si="90"/>
        <v>92.291718</v>
      </c>
      <c r="N89">
        <f t="shared" si="91"/>
        <v>18.154649</v>
      </c>
      <c r="O89">
        <f t="shared" si="103"/>
        <v>19.238182</v>
      </c>
      <c r="S89">
        <f t="shared" si="94"/>
        <v>113.43282</v>
      </c>
      <c r="T89">
        <f t="shared" si="104"/>
        <v>102.28877</v>
      </c>
      <c r="V89" s="7">
        <v>943.89758</v>
      </c>
      <c r="X89" s="2">
        <f t="shared" si="95"/>
        <v>-925.742931</v>
      </c>
      <c r="Y89" s="2">
        <f t="shared" si="96"/>
        <v>-924.6593979999999</v>
      </c>
      <c r="Z89" s="2">
        <f t="shared" si="97"/>
        <v>1057.3304</v>
      </c>
      <c r="AA89" s="2">
        <f t="shared" si="98"/>
        <v>1046.18635</v>
      </c>
      <c r="AC89">
        <f t="shared" si="99"/>
        <v>35.48516450000005</v>
      </c>
      <c r="AD89">
        <f t="shared" si="53"/>
        <v>5.16262500000008</v>
      </c>
      <c r="AH89">
        <f t="shared" si="105"/>
        <v>-27.426064460000134</v>
      </c>
      <c r="AI89">
        <f t="shared" si="105"/>
        <v>-27.608659257999875</v>
      </c>
      <c r="AM89">
        <v>945</v>
      </c>
      <c r="AN89">
        <v>-1028.8</v>
      </c>
      <c r="AO89">
        <v>76.8</v>
      </c>
      <c r="AP89">
        <v>-864.8</v>
      </c>
      <c r="AQ89">
        <v>-6.8</v>
      </c>
      <c r="AS89">
        <v>-945</v>
      </c>
      <c r="AT89">
        <v>-69.8</v>
      </c>
      <c r="AU89">
        <v>1008.8</v>
      </c>
      <c r="AV89">
        <v>89.9</v>
      </c>
      <c r="AW89">
        <v>928.1</v>
      </c>
      <c r="AY89" t="s">
        <v>76</v>
      </c>
    </row>
    <row r="90" spans="1:51" ht="16.5">
      <c r="A90" s="1">
        <v>40003</v>
      </c>
      <c r="B90" s="13">
        <v>92.546533</v>
      </c>
      <c r="C90" s="13">
        <v>92.80989</v>
      </c>
      <c r="D90" s="13">
        <v>18.755638</v>
      </c>
      <c r="E90" s="13">
        <v>19.292557</v>
      </c>
      <c r="F90" s="13"/>
      <c r="G90" s="13">
        <v>1992.1446</v>
      </c>
      <c r="H90" s="13">
        <v>1982.0017</v>
      </c>
      <c r="I90" s="13">
        <v>112.94388</v>
      </c>
      <c r="J90" s="13">
        <v>102.42055</v>
      </c>
      <c r="L90">
        <f t="shared" si="89"/>
        <v>92.546533</v>
      </c>
      <c r="M90">
        <f t="shared" si="90"/>
        <v>92.80989</v>
      </c>
      <c r="N90">
        <f t="shared" si="91"/>
        <v>18.755638</v>
      </c>
      <c r="O90">
        <f t="shared" si="103"/>
        <v>19.292557</v>
      </c>
      <c r="Q90">
        <f t="shared" si="92"/>
        <v>1992.1446</v>
      </c>
      <c r="R90">
        <f t="shared" si="93"/>
        <v>1982.0017</v>
      </c>
      <c r="S90">
        <f t="shared" si="94"/>
        <v>112.94388</v>
      </c>
      <c r="T90">
        <f t="shared" si="104"/>
        <v>102.42055</v>
      </c>
      <c r="V90" s="7">
        <v>943.89839</v>
      </c>
      <c r="X90" s="2">
        <f t="shared" si="95"/>
        <v>-925.142752</v>
      </c>
      <c r="Y90" s="2">
        <f t="shared" si="96"/>
        <v>-924.605833</v>
      </c>
      <c r="Z90" s="2">
        <f t="shared" si="97"/>
        <v>1056.8422699999999</v>
      </c>
      <c r="AA90" s="2">
        <f t="shared" si="98"/>
        <v>1046.3189399999999</v>
      </c>
      <c r="AC90">
        <f t="shared" si="99"/>
        <v>35.15829249999996</v>
      </c>
      <c r="AD90">
        <f t="shared" si="53"/>
        <v>5.34039500000009</v>
      </c>
      <c r="AH90">
        <f t="shared" si="105"/>
        <v>-28.35472752299995</v>
      </c>
      <c r="AI90">
        <f t="shared" si="105"/>
        <v>-28.089329590000034</v>
      </c>
      <c r="AJ90">
        <f>(Z90-2048*0.0545)-(Q90-1024-15.56)*1.031+2.5</f>
        <v>-34.388452600000164</v>
      </c>
      <c r="AK90">
        <f>(AA90-2048*0.0545)-(R90-1024-15.56)*1.031+2.5</f>
        <v>-34.45445270000016</v>
      </c>
      <c r="AM90">
        <v>945</v>
      </c>
      <c r="AN90">
        <v>-1028.8</v>
      </c>
      <c r="AO90">
        <v>77.1</v>
      </c>
      <c r="AP90">
        <v>-864.2</v>
      </c>
      <c r="AQ90">
        <v>-7</v>
      </c>
      <c r="AS90">
        <v>-945</v>
      </c>
      <c r="AT90">
        <v>-70</v>
      </c>
      <c r="AU90">
        <v>1009.1</v>
      </c>
      <c r="AV90">
        <v>90.3</v>
      </c>
      <c r="AW90">
        <v>927.9</v>
      </c>
      <c r="AY90" t="s">
        <v>76</v>
      </c>
    </row>
    <row r="91" spans="1:51" ht="16.5">
      <c r="A91" s="1">
        <v>40007</v>
      </c>
      <c r="B91" s="13">
        <v>94.914403</v>
      </c>
      <c r="C91" s="13">
        <v>93.783086</v>
      </c>
      <c r="D91" s="13">
        <v>21.491674</v>
      </c>
      <c r="E91" s="13">
        <v>20.260065</v>
      </c>
      <c r="F91" s="13"/>
      <c r="G91" s="13">
        <v>1991.6314</v>
      </c>
      <c r="H91" s="13">
        <v>1982.053</v>
      </c>
      <c r="I91" s="13">
        <v>111.61519</v>
      </c>
      <c r="J91" s="13">
        <v>101.88607</v>
      </c>
      <c r="L91">
        <f t="shared" si="89"/>
        <v>94.914403</v>
      </c>
      <c r="M91">
        <f t="shared" si="90"/>
        <v>93.783086</v>
      </c>
      <c r="N91">
        <f t="shared" si="91"/>
        <v>21.491674</v>
      </c>
      <c r="O91">
        <f t="shared" si="103"/>
        <v>20.260065</v>
      </c>
      <c r="Q91">
        <f t="shared" si="92"/>
        <v>1991.6314</v>
      </c>
      <c r="R91">
        <f t="shared" si="93"/>
        <v>1982.053</v>
      </c>
      <c r="S91">
        <f t="shared" si="94"/>
        <v>111.61519</v>
      </c>
      <c r="T91">
        <f t="shared" si="104"/>
        <v>101.88607</v>
      </c>
      <c r="V91" s="7">
        <v>944.00518</v>
      </c>
      <c r="X91" s="2">
        <f t="shared" si="95"/>
        <v>-922.513506</v>
      </c>
      <c r="Y91" s="2">
        <f t="shared" si="96"/>
        <v>-923.7451149999999</v>
      </c>
      <c r="Z91" s="2">
        <f t="shared" si="97"/>
        <v>1055.62037</v>
      </c>
      <c r="AA91" s="2">
        <f t="shared" si="98"/>
        <v>1045.89125</v>
      </c>
      <c r="AC91">
        <f t="shared" si="99"/>
        <v>33.41331050000002</v>
      </c>
      <c r="AD91">
        <f t="shared" si="53"/>
        <v>6.165189999999857</v>
      </c>
      <c r="AH91">
        <f t="shared" si="105"/>
        <v>-28.166755493000096</v>
      </c>
      <c r="AI91">
        <f t="shared" si="105"/>
        <v>-28.231976666000037</v>
      </c>
      <c r="AJ91">
        <f>(Z91-2048*0.0545)-(Q91-1024-15.56)*1.031+2.5</f>
        <v>-35.081243399999835</v>
      </c>
      <c r="AK91">
        <f>(AA91-2048*0.0545)-(R91-1024-15.56)*1.031+2.5</f>
        <v>-34.9350330000002</v>
      </c>
      <c r="AM91">
        <v>945</v>
      </c>
      <c r="AN91">
        <v>-1029.6</v>
      </c>
      <c r="AO91">
        <v>77.5</v>
      </c>
      <c r="AP91">
        <v>-863.4</v>
      </c>
      <c r="AQ91">
        <v>-7.4</v>
      </c>
      <c r="AS91">
        <v>-945</v>
      </c>
      <c r="AT91">
        <v>-70.5</v>
      </c>
      <c r="AU91">
        <v>1009.2</v>
      </c>
      <c r="AV91">
        <v>91.2</v>
      </c>
      <c r="AW91">
        <v>927.6</v>
      </c>
      <c r="AY91" t="s">
        <v>76</v>
      </c>
    </row>
    <row r="92" spans="1:51" ht="16.5">
      <c r="A92" s="1">
        <v>40011</v>
      </c>
      <c r="B92" s="13"/>
      <c r="C92" s="13"/>
      <c r="D92" s="13"/>
      <c r="E92" s="13"/>
      <c r="F92" s="13"/>
      <c r="G92" s="13"/>
      <c r="H92" s="13"/>
      <c r="I92" s="13"/>
      <c r="J92" s="13"/>
      <c r="V92" s="7">
        <v>944.18242</v>
      </c>
      <c r="X92" s="2"/>
      <c r="Y92" s="2"/>
      <c r="Z92" s="2"/>
      <c r="AA92" s="2"/>
      <c r="AY92" t="s">
        <v>76</v>
      </c>
    </row>
    <row r="93" spans="1:51" ht="16.5">
      <c r="A93" s="1">
        <v>40016</v>
      </c>
      <c r="B93" s="13">
        <v>99.2693</v>
      </c>
      <c r="C93" s="13">
        <v>95.459658</v>
      </c>
      <c r="D93" s="13">
        <v>26.572188</v>
      </c>
      <c r="E93" s="13">
        <v>22.731329</v>
      </c>
      <c r="F93" s="13"/>
      <c r="G93" s="13">
        <v>1989.9394</v>
      </c>
      <c r="H93" s="13">
        <v>1982.5691</v>
      </c>
      <c r="I93" s="13">
        <v>108.76858</v>
      </c>
      <c r="J93" s="13">
        <v>101.17178</v>
      </c>
      <c r="L93">
        <f t="shared" si="89"/>
        <v>99.2693</v>
      </c>
      <c r="M93">
        <f t="shared" si="90"/>
        <v>95.459658</v>
      </c>
      <c r="N93">
        <f t="shared" si="91"/>
        <v>26.572188</v>
      </c>
      <c r="O93">
        <f t="shared" si="103"/>
        <v>22.731329</v>
      </c>
      <c r="Q93">
        <f t="shared" si="92"/>
        <v>1989.9394</v>
      </c>
      <c r="R93">
        <f t="shared" si="93"/>
        <v>1982.5691</v>
      </c>
      <c r="S93">
        <f t="shared" si="94"/>
        <v>108.76858</v>
      </c>
      <c r="T93">
        <f t="shared" si="104"/>
        <v>101.17178</v>
      </c>
      <c r="V93" s="7">
        <v>944.502</v>
      </c>
      <c r="X93" s="2">
        <f t="shared" si="95"/>
        <v>-917.929812</v>
      </c>
      <c r="Y93" s="2">
        <f t="shared" si="96"/>
        <v>-921.770671</v>
      </c>
      <c r="Z93" s="2">
        <f t="shared" si="97"/>
        <v>1053.2705799999999</v>
      </c>
      <c r="AA93" s="2">
        <f t="shared" si="98"/>
        <v>1045.6737799999999</v>
      </c>
      <c r="AC93">
        <f t="shared" si="99"/>
        <v>30.134241500000083</v>
      </c>
      <c r="AD93">
        <f t="shared" si="53"/>
        <v>7.4488200000002145</v>
      </c>
      <c r="AH93">
        <f>(X93-1024*0.0545)-(L93-1024+7.5)*1.031</f>
        <v>-28.07296030000009</v>
      </c>
      <c r="AI93">
        <f>(Y93-1024*0.0545)-(M93-1024+7.5)*1.031</f>
        <v>-27.986078398000018</v>
      </c>
      <c r="AJ93">
        <f aca="true" t="shared" si="106" ref="AJ93:AK95">(Z93-2048*0.0545)-(Q93-1024-15.56)*1.031+2.5</f>
        <v>-35.68658140000002</v>
      </c>
      <c r="AK93">
        <f t="shared" si="106"/>
        <v>-35.684602100000006</v>
      </c>
      <c r="AM93">
        <v>945</v>
      </c>
      <c r="AN93">
        <v>-1030.8</v>
      </c>
      <c r="AO93">
        <v>78.8</v>
      </c>
      <c r="AP93">
        <v>-861.8</v>
      </c>
      <c r="AQ93">
        <v>-8.6</v>
      </c>
      <c r="AS93">
        <v>-945</v>
      </c>
      <c r="AT93">
        <v>-72</v>
      </c>
      <c r="AU93">
        <v>1010.7</v>
      </c>
      <c r="AV93">
        <v>92.4</v>
      </c>
      <c r="AW93">
        <v>926.7</v>
      </c>
      <c r="AY93" t="s">
        <v>76</v>
      </c>
    </row>
    <row r="94" spans="1:51" ht="16.5">
      <c r="A94" s="1">
        <v>40019</v>
      </c>
      <c r="B94" s="13">
        <v>102.38588</v>
      </c>
      <c r="C94" s="13">
        <v>96.631869</v>
      </c>
      <c r="D94" s="13"/>
      <c r="E94" s="13"/>
      <c r="F94" s="13"/>
      <c r="G94" s="13">
        <v>1988.776</v>
      </c>
      <c r="H94" s="13">
        <v>1982.7288</v>
      </c>
      <c r="I94" s="13">
        <v>107.31781</v>
      </c>
      <c r="J94" s="13">
        <v>100.95187</v>
      </c>
      <c r="L94">
        <f t="shared" si="89"/>
        <v>102.38588</v>
      </c>
      <c r="M94">
        <f t="shared" si="90"/>
        <v>96.631869</v>
      </c>
      <c r="Q94">
        <f t="shared" si="92"/>
        <v>1988.776</v>
      </c>
      <c r="R94">
        <f t="shared" si="93"/>
        <v>1982.7288</v>
      </c>
      <c r="S94">
        <f t="shared" si="94"/>
        <v>107.31781</v>
      </c>
      <c r="T94">
        <f t="shared" si="104"/>
        <v>100.95187</v>
      </c>
      <c r="V94" s="7">
        <v>944.7453</v>
      </c>
      <c r="X94" s="2"/>
      <c r="Y94" s="2"/>
      <c r="Z94" s="2">
        <f t="shared" si="97"/>
        <v>1052.06311</v>
      </c>
      <c r="AA94" s="2">
        <f t="shared" si="98"/>
        <v>1045.6971700000001</v>
      </c>
      <c r="AD94">
        <f t="shared" si="53"/>
        <v>8.040859999999757</v>
      </c>
      <c r="AJ94">
        <f t="shared" si="106"/>
        <v>-35.69458599999996</v>
      </c>
      <c r="AK94">
        <f t="shared" si="106"/>
        <v>-35.82586279999987</v>
      </c>
      <c r="AM94">
        <v>945</v>
      </c>
      <c r="AN94">
        <v>-1031.7</v>
      </c>
      <c r="AO94">
        <v>79.4</v>
      </c>
      <c r="AP94">
        <v>-860.9</v>
      </c>
      <c r="AQ94">
        <v>-9.2</v>
      </c>
      <c r="AS94">
        <v>-945</v>
      </c>
      <c r="AT94">
        <v>-72.6</v>
      </c>
      <c r="AU94">
        <v>1011.1</v>
      </c>
      <c r="AV94">
        <v>93.2</v>
      </c>
      <c r="AW94">
        <v>925.9</v>
      </c>
      <c r="AY94" t="s">
        <v>76</v>
      </c>
    </row>
    <row r="95" spans="1:51" ht="16.5">
      <c r="A95" s="1">
        <v>40023</v>
      </c>
      <c r="B95" s="13">
        <v>105.84396</v>
      </c>
      <c r="C95" s="13">
        <v>98.241206</v>
      </c>
      <c r="D95" s="13">
        <v>34.161211</v>
      </c>
      <c r="E95" s="13">
        <v>26.711641</v>
      </c>
      <c r="F95" s="13"/>
      <c r="G95" s="13">
        <v>1986.9246</v>
      </c>
      <c r="H95" s="13">
        <v>1982.784</v>
      </c>
      <c r="I95" s="13">
        <v>104.95044</v>
      </c>
      <c r="J95" s="13">
        <v>100.56648</v>
      </c>
      <c r="L95">
        <f t="shared" si="89"/>
        <v>105.84396</v>
      </c>
      <c r="M95">
        <f t="shared" si="90"/>
        <v>98.241206</v>
      </c>
      <c r="N95">
        <f t="shared" si="91"/>
        <v>34.161211</v>
      </c>
      <c r="O95">
        <f t="shared" si="103"/>
        <v>26.711641</v>
      </c>
      <c r="Q95">
        <f t="shared" si="92"/>
        <v>1986.9246</v>
      </c>
      <c r="R95">
        <f t="shared" si="93"/>
        <v>1982.784</v>
      </c>
      <c r="S95">
        <f t="shared" si="94"/>
        <v>104.95044</v>
      </c>
      <c r="T95">
        <f t="shared" si="104"/>
        <v>100.56648</v>
      </c>
      <c r="V95" s="7">
        <v>945.12876</v>
      </c>
      <c r="X95" s="2">
        <f t="shared" si="95"/>
        <v>-910.9675490000001</v>
      </c>
      <c r="Y95" s="2">
        <f t="shared" si="96"/>
        <v>-918.4171190000001</v>
      </c>
      <c r="Z95" s="2">
        <f t="shared" si="97"/>
        <v>1050.0792000000001</v>
      </c>
      <c r="AA95" s="2">
        <f t="shared" si="98"/>
        <v>1045.69524</v>
      </c>
      <c r="AC95">
        <f aca="true" t="shared" si="107" ref="AC95:AC102">1.56-((X95+Y95)/2-(-891.276))</f>
        <v>24.97633400000012</v>
      </c>
      <c r="AD95">
        <f t="shared" si="53"/>
        <v>9.033779999999897</v>
      </c>
      <c r="AH95">
        <f aca="true" t="shared" si="108" ref="AH95:AI102">(X95-1024*0.0545)-(L95-1024+7.5)*1.031</f>
        <v>-27.88917176000018</v>
      </c>
      <c r="AI95">
        <f t="shared" si="108"/>
        <v>-27.500302386000158</v>
      </c>
      <c r="AJ95">
        <f t="shared" si="106"/>
        <v>-35.769702599999846</v>
      </c>
      <c r="AK95">
        <f t="shared" si="106"/>
        <v>-35.884704000000056</v>
      </c>
      <c r="AM95">
        <v>945</v>
      </c>
      <c r="AN95">
        <v>-1032.7</v>
      </c>
      <c r="AO95">
        <v>80.3</v>
      </c>
      <c r="AP95">
        <v>-859.9</v>
      </c>
      <c r="AQ95">
        <v>-9.8</v>
      </c>
      <c r="AS95">
        <v>-945</v>
      </c>
      <c r="AT95">
        <v>-73.9</v>
      </c>
      <c r="AU95">
        <v>1012.2</v>
      </c>
      <c r="AV95">
        <v>94.3</v>
      </c>
      <c r="AW95">
        <v>925.1</v>
      </c>
      <c r="AY95" t="s">
        <v>76</v>
      </c>
    </row>
    <row r="96" spans="1:51" ht="16.5">
      <c r="A96" s="1">
        <v>40026</v>
      </c>
      <c r="B96" s="13">
        <v>110.79434</v>
      </c>
      <c r="C96" s="13">
        <v>101.40219</v>
      </c>
      <c r="D96" s="13">
        <v>39.299602</v>
      </c>
      <c r="E96" s="13">
        <v>29.62249</v>
      </c>
      <c r="F96" s="13"/>
      <c r="G96" s="13"/>
      <c r="H96" s="13"/>
      <c r="I96" s="13">
        <v>102.04836</v>
      </c>
      <c r="J96" s="13">
        <v>99.727149</v>
      </c>
      <c r="L96">
        <f t="shared" si="89"/>
        <v>110.79434</v>
      </c>
      <c r="M96">
        <f t="shared" si="90"/>
        <v>101.40219</v>
      </c>
      <c r="N96">
        <f t="shared" si="91"/>
        <v>39.299602</v>
      </c>
      <c r="O96">
        <f t="shared" si="103"/>
        <v>29.62249</v>
      </c>
      <c r="S96">
        <f t="shared" si="94"/>
        <v>102.04836</v>
      </c>
      <c r="T96">
        <f t="shared" si="104"/>
        <v>99.727149</v>
      </c>
      <c r="V96" s="7">
        <v>945.45984</v>
      </c>
      <c r="X96" s="2">
        <f t="shared" si="95"/>
        <v>-906.1602379999999</v>
      </c>
      <c r="Y96" s="2">
        <f t="shared" si="96"/>
        <v>-915.83735</v>
      </c>
      <c r="Z96" s="2">
        <f t="shared" si="97"/>
        <v>1047.5082</v>
      </c>
      <c r="AA96" s="2">
        <f t="shared" si="98"/>
        <v>1045.186989</v>
      </c>
      <c r="AC96">
        <f t="shared" si="107"/>
        <v>21.28279400000002</v>
      </c>
      <c r="AD96">
        <f t="shared" si="53"/>
        <v>10.573405499999954</v>
      </c>
      <c r="AH96">
        <f t="shared" si="108"/>
        <v>-28.18570254000008</v>
      </c>
      <c r="AI96">
        <f t="shared" si="108"/>
        <v>-28.17950789000008</v>
      </c>
      <c r="AM96">
        <v>945</v>
      </c>
      <c r="AN96">
        <v>-1033.8</v>
      </c>
      <c r="AO96">
        <v>81.4</v>
      </c>
      <c r="AP96">
        <v>-859</v>
      </c>
      <c r="AQ96">
        <v>-11.2</v>
      </c>
      <c r="AS96">
        <v>-945</v>
      </c>
      <c r="AT96">
        <v>-74.6</v>
      </c>
      <c r="AU96">
        <v>1013</v>
      </c>
      <c r="AV96">
        <v>95.6</v>
      </c>
      <c r="AW96">
        <v>923.8</v>
      </c>
      <c r="AY96" t="s">
        <v>76</v>
      </c>
    </row>
    <row r="97" spans="1:51" ht="16.5">
      <c r="A97" s="1">
        <v>40029</v>
      </c>
      <c r="B97" s="13">
        <v>117.524</v>
      </c>
      <c r="C97" s="13">
        <v>105.02157</v>
      </c>
      <c r="D97" s="13">
        <v>46.48083</v>
      </c>
      <c r="E97" s="13">
        <v>33.61741</v>
      </c>
      <c r="F97" s="13"/>
      <c r="G97" s="13">
        <v>1982.1683</v>
      </c>
      <c r="H97" s="13">
        <v>1983.4205</v>
      </c>
      <c r="I97" s="13">
        <v>98.458664</v>
      </c>
      <c r="J97" s="13">
        <v>99.672991</v>
      </c>
      <c r="L97">
        <f t="shared" si="89"/>
        <v>117.524</v>
      </c>
      <c r="M97">
        <f t="shared" si="90"/>
        <v>105.02157</v>
      </c>
      <c r="N97">
        <f t="shared" si="91"/>
        <v>46.48083</v>
      </c>
      <c r="O97">
        <f t="shared" si="103"/>
        <v>33.61741</v>
      </c>
      <c r="Q97">
        <f t="shared" si="92"/>
        <v>1982.1683</v>
      </c>
      <c r="R97">
        <f t="shared" si="93"/>
        <v>1983.4205</v>
      </c>
      <c r="S97">
        <f t="shared" si="94"/>
        <v>98.458664</v>
      </c>
      <c r="T97">
        <f t="shared" si="104"/>
        <v>99.672991</v>
      </c>
      <c r="V97" s="7">
        <v>945.82739</v>
      </c>
      <c r="X97" s="2">
        <f t="shared" si="95"/>
        <v>-899.3465600000001</v>
      </c>
      <c r="Y97" s="2">
        <f t="shared" si="96"/>
        <v>-912.2099800000001</v>
      </c>
      <c r="Z97" s="2">
        <f t="shared" si="97"/>
        <v>1044.2860540000001</v>
      </c>
      <c r="AA97" s="2">
        <f t="shared" si="98"/>
        <v>1045.500381</v>
      </c>
      <c r="AC97">
        <f t="shared" si="107"/>
        <v>16.062270000000066</v>
      </c>
      <c r="AD97">
        <f t="shared" si="53"/>
        <v>12.027782499999976</v>
      </c>
      <c r="AH97">
        <f t="shared" si="108"/>
        <v>-28.310304000000087</v>
      </c>
      <c r="AI97">
        <f t="shared" si="108"/>
        <v>-28.2837186700001</v>
      </c>
      <c r="AJ97">
        <f aca="true" t="shared" si="109" ref="AJ97:AJ102">(Z97-2048*0.0545)-(Q97-1024-15.56)*1.031+2.5</f>
        <v>-36.659103299999856</v>
      </c>
      <c r="AK97">
        <f aca="true" t="shared" si="110" ref="AK97:AK102">(AA97-2048*0.0545)-(R97-1024-15.56)*1.031+2.5</f>
        <v>-36.735794499999884</v>
      </c>
      <c r="AM97">
        <v>945</v>
      </c>
      <c r="AN97">
        <v>-1035.3</v>
      </c>
      <c r="AO97">
        <v>82.7</v>
      </c>
      <c r="AP97">
        <v>-857.4</v>
      </c>
      <c r="AQ97">
        <v>-12.7</v>
      </c>
      <c r="AS97">
        <v>-945</v>
      </c>
      <c r="AT97">
        <v>-76.2</v>
      </c>
      <c r="AU97">
        <v>1014.8</v>
      </c>
      <c r="AV97">
        <v>97.2</v>
      </c>
      <c r="AW97">
        <v>922.3</v>
      </c>
      <c r="AY97" t="s">
        <v>76</v>
      </c>
    </row>
    <row r="98" spans="1:49" ht="16.5">
      <c r="A98" s="1">
        <v>40032</v>
      </c>
      <c r="B98" s="13">
        <v>123.03847</v>
      </c>
      <c r="C98" s="13">
        <v>107.54188</v>
      </c>
      <c r="D98" s="13">
        <v>53.75714</v>
      </c>
      <c r="E98" s="13">
        <v>37.831768</v>
      </c>
      <c r="F98" s="13"/>
      <c r="G98" s="13">
        <v>1980.4036</v>
      </c>
      <c r="H98" s="13">
        <v>1984.2113</v>
      </c>
      <c r="I98" s="13">
        <v>95.460239</v>
      </c>
      <c r="J98" s="13">
        <v>99.485279</v>
      </c>
      <c r="L98">
        <f t="shared" si="89"/>
        <v>123.03847</v>
      </c>
      <c r="M98">
        <f t="shared" si="90"/>
        <v>107.54188</v>
      </c>
      <c r="N98">
        <f t="shared" si="91"/>
        <v>53.75714</v>
      </c>
      <c r="O98">
        <f t="shared" si="103"/>
        <v>37.831768</v>
      </c>
      <c r="Q98">
        <f t="shared" si="92"/>
        <v>1980.4036</v>
      </c>
      <c r="R98">
        <f t="shared" si="93"/>
        <v>1984.2113</v>
      </c>
      <c r="S98">
        <f t="shared" si="94"/>
        <v>95.460239</v>
      </c>
      <c r="T98">
        <f t="shared" si="104"/>
        <v>99.485279</v>
      </c>
      <c r="V98" s="7">
        <v>946.2306</v>
      </c>
      <c r="X98" s="2">
        <f t="shared" si="95"/>
        <v>-892.4734599999999</v>
      </c>
      <c r="Y98" s="2">
        <f t="shared" si="96"/>
        <v>-908.398832</v>
      </c>
      <c r="Z98" s="2">
        <f t="shared" si="97"/>
        <v>1041.6908389999999</v>
      </c>
      <c r="AA98" s="2">
        <f t="shared" si="98"/>
        <v>1045.715879</v>
      </c>
      <c r="AC98">
        <f t="shared" si="107"/>
        <v>10.720146000000055</v>
      </c>
      <c r="AD98">
        <f t="shared" si="53"/>
        <v>13.217640999999876</v>
      </c>
      <c r="AH98">
        <f t="shared" si="108"/>
        <v>-27.122622569999976</v>
      </c>
      <c r="AI98">
        <f t="shared" si="108"/>
        <v>-27.071010279999996</v>
      </c>
      <c r="AJ98">
        <f t="shared" si="109"/>
        <v>-37.43491260000019</v>
      </c>
      <c r="AK98">
        <f t="shared" si="110"/>
        <v>-37.33561129999987</v>
      </c>
      <c r="AM98">
        <v>945</v>
      </c>
      <c r="AN98">
        <v>-1036.7</v>
      </c>
      <c r="AO98">
        <v>84.7</v>
      </c>
      <c r="AP98">
        <v>-855.8</v>
      </c>
      <c r="AQ98">
        <v>-14.1</v>
      </c>
      <c r="AS98">
        <v>-945</v>
      </c>
      <c r="AT98">
        <v>-77.8</v>
      </c>
      <c r="AU98">
        <v>1016.4</v>
      </c>
      <c r="AV98">
        <v>98.8</v>
      </c>
      <c r="AW98">
        <v>920.9</v>
      </c>
    </row>
    <row r="99" spans="1:49" ht="16.5">
      <c r="A99" s="1">
        <v>40034</v>
      </c>
      <c r="B99" s="13">
        <v>122.8134</v>
      </c>
      <c r="C99" s="13">
        <v>107.63322</v>
      </c>
      <c r="D99" s="13">
        <v>53.610458</v>
      </c>
      <c r="E99" s="13">
        <v>37.952197</v>
      </c>
      <c r="F99" s="13"/>
      <c r="G99" s="13">
        <v>1979.9084</v>
      </c>
      <c r="H99" s="13">
        <v>1983.8984</v>
      </c>
      <c r="I99" s="13">
        <v>94.865638</v>
      </c>
      <c r="J99" s="13">
        <v>98.896483</v>
      </c>
      <c r="L99">
        <f t="shared" si="89"/>
        <v>122.8134</v>
      </c>
      <c r="M99">
        <f t="shared" si="90"/>
        <v>107.63322</v>
      </c>
      <c r="N99">
        <f t="shared" si="91"/>
        <v>53.610458</v>
      </c>
      <c r="O99">
        <f t="shared" si="103"/>
        <v>37.952197</v>
      </c>
      <c r="Q99">
        <f t="shared" si="92"/>
        <v>1979.9084</v>
      </c>
      <c r="R99">
        <f t="shared" si="93"/>
        <v>1983.8984</v>
      </c>
      <c r="S99">
        <f t="shared" si="94"/>
        <v>94.865638</v>
      </c>
      <c r="T99">
        <f t="shared" si="104"/>
        <v>98.896483</v>
      </c>
      <c r="V99" s="7">
        <v>946.51878</v>
      </c>
      <c r="X99" s="2">
        <f t="shared" si="95"/>
        <v>-892.908322</v>
      </c>
      <c r="Y99" s="2">
        <f t="shared" si="96"/>
        <v>-908.566583</v>
      </c>
      <c r="Z99" s="2">
        <f t="shared" si="97"/>
        <v>1041.384418</v>
      </c>
      <c r="AA99" s="2">
        <f t="shared" si="98"/>
        <v>1045.415263</v>
      </c>
      <c r="AC99">
        <f t="shared" si="107"/>
        <v>11.021452500000064</v>
      </c>
      <c r="AD99">
        <f t="shared" si="53"/>
        <v>13.521159499999758</v>
      </c>
      <c r="AH99">
        <f t="shared" si="108"/>
        <v>-27.325437400000055</v>
      </c>
      <c r="AI99">
        <f t="shared" si="108"/>
        <v>-27.332932819999996</v>
      </c>
      <c r="AJ99">
        <f t="shared" si="109"/>
        <v>-37.23078239999995</v>
      </c>
      <c r="AK99">
        <f t="shared" si="110"/>
        <v>-37.31362739999986</v>
      </c>
      <c r="AM99">
        <v>945</v>
      </c>
      <c r="AN99">
        <v>-1036.7</v>
      </c>
      <c r="AO99">
        <v>84.5</v>
      </c>
      <c r="AP99">
        <v>-856.1</v>
      </c>
      <c r="AQ99">
        <v>-14.2</v>
      </c>
      <c r="AS99">
        <v>-945</v>
      </c>
      <c r="AT99">
        <v>-77.9</v>
      </c>
      <c r="AU99">
        <v>1016.4</v>
      </c>
      <c r="AV99">
        <v>98.8</v>
      </c>
      <c r="AW99">
        <v>920.8</v>
      </c>
    </row>
    <row r="100" spans="1:49" ht="16.5">
      <c r="A100" s="1">
        <v>40039</v>
      </c>
      <c r="B100" s="13">
        <v>124.20909</v>
      </c>
      <c r="C100" s="13">
        <v>108.79032</v>
      </c>
      <c r="D100" s="13">
        <v>55.589165</v>
      </c>
      <c r="E100" s="13">
        <v>39.559788</v>
      </c>
      <c r="F100" s="13"/>
      <c r="G100" s="13">
        <v>1979.7145</v>
      </c>
      <c r="H100" s="13">
        <v>1983.6623</v>
      </c>
      <c r="I100" s="13">
        <v>94.038227</v>
      </c>
      <c r="J100" s="13">
        <v>98.151396</v>
      </c>
      <c r="L100">
        <f t="shared" si="89"/>
        <v>124.20909</v>
      </c>
      <c r="M100">
        <f t="shared" si="90"/>
        <v>108.79032</v>
      </c>
      <c r="N100" s="13">
        <f>D100</f>
        <v>55.589165</v>
      </c>
      <c r="O100" s="13">
        <f>E100</f>
        <v>39.559788</v>
      </c>
      <c r="Q100">
        <f t="shared" si="92"/>
        <v>1979.7145</v>
      </c>
      <c r="R100">
        <f t="shared" si="93"/>
        <v>1983.6623</v>
      </c>
      <c r="S100">
        <f t="shared" si="94"/>
        <v>94.038227</v>
      </c>
      <c r="T100">
        <f t="shared" si="104"/>
        <v>98.151396</v>
      </c>
      <c r="V100" s="7">
        <v>947.30492</v>
      </c>
      <c r="X100" s="2">
        <f>N100-V100</f>
        <v>-891.7157550000001</v>
      </c>
      <c r="Y100" s="2">
        <f>O100-V100</f>
        <v>-907.745132</v>
      </c>
      <c r="Z100" s="2">
        <f t="shared" si="97"/>
        <v>1041.343147</v>
      </c>
      <c r="AA100" s="2">
        <f t="shared" si="98"/>
        <v>1045.456316</v>
      </c>
      <c r="AC100">
        <f t="shared" si="107"/>
        <v>10.014443500000139</v>
      </c>
      <c r="AD100">
        <f t="shared" si="53"/>
        <v>13.521268499999824</v>
      </c>
      <c r="AH100">
        <f t="shared" si="108"/>
        <v>-27.57182679000016</v>
      </c>
      <c r="AI100">
        <f t="shared" si="108"/>
        <v>-27.704451919999997</v>
      </c>
      <c r="AJ100">
        <f t="shared" si="109"/>
        <v>-37.07214249999993</v>
      </c>
      <c r="AK100">
        <f t="shared" si="110"/>
        <v>-37.02915529999996</v>
      </c>
      <c r="AM100" s="21">
        <v>930</v>
      </c>
      <c r="AN100">
        <f>-121.5-15</f>
        <v>-136.5</v>
      </c>
      <c r="AO100">
        <v>84.2</v>
      </c>
      <c r="AP100">
        <f>-840.5-15</f>
        <v>-855.5</v>
      </c>
      <c r="AQ100">
        <v>-14.5</v>
      </c>
      <c r="AS100">
        <v>-945</v>
      </c>
      <c r="AT100">
        <v>-77.9</v>
      </c>
      <c r="AU100">
        <v>1016.4</v>
      </c>
      <c r="AV100">
        <v>98.9</v>
      </c>
      <c r="AW100">
        <v>920.8</v>
      </c>
    </row>
    <row r="101" spans="1:49" ht="16.5">
      <c r="A101" s="1">
        <v>40048</v>
      </c>
      <c r="B101" s="13">
        <v>124.32169</v>
      </c>
      <c r="C101" s="13">
        <v>108.35887</v>
      </c>
      <c r="D101" s="13">
        <v>57.523865</v>
      </c>
      <c r="E101" s="13">
        <v>41.016848</v>
      </c>
      <c r="F101" s="13"/>
      <c r="G101" s="13">
        <v>1979.4329</v>
      </c>
      <c r="H101" s="13">
        <v>1983.6568</v>
      </c>
      <c r="I101" s="13">
        <v>91.85048</v>
      </c>
      <c r="J101" s="13">
        <v>96.05928</v>
      </c>
      <c r="L101">
        <f t="shared" si="89"/>
        <v>124.32169</v>
      </c>
      <c r="M101">
        <f t="shared" si="90"/>
        <v>108.35887</v>
      </c>
      <c r="N101">
        <f t="shared" si="91"/>
        <v>57.523865</v>
      </c>
      <c r="O101">
        <f t="shared" si="103"/>
        <v>41.016848</v>
      </c>
      <c r="Q101">
        <f t="shared" si="92"/>
        <v>1979.4329</v>
      </c>
      <c r="R101">
        <f t="shared" si="93"/>
        <v>1983.6568</v>
      </c>
      <c r="S101">
        <f t="shared" si="94"/>
        <v>91.85048</v>
      </c>
      <c r="T101">
        <f t="shared" si="104"/>
        <v>96.05928</v>
      </c>
      <c r="V101" s="7">
        <v>948.94269</v>
      </c>
      <c r="X101" s="2">
        <f>N101-V101</f>
        <v>-891.418825</v>
      </c>
      <c r="Y101" s="2">
        <f>O101-V101</f>
        <v>-907.925842</v>
      </c>
      <c r="Z101" s="2">
        <f t="shared" si="97"/>
        <v>1040.79317</v>
      </c>
      <c r="AA101" s="2">
        <f t="shared" si="98"/>
        <v>1045.00197</v>
      </c>
      <c r="AC101">
        <f t="shared" si="107"/>
        <v>9.95633349999997</v>
      </c>
      <c r="AD101">
        <f t="shared" si="53"/>
        <v>14.02342999999988</v>
      </c>
      <c r="AH101">
        <f t="shared" si="108"/>
        <v>-27.390987390000078</v>
      </c>
      <c r="AI101">
        <f t="shared" si="108"/>
        <v>-27.44033697000009</v>
      </c>
      <c r="AJ101">
        <f t="shared" si="109"/>
        <v>-37.3317899000001</v>
      </c>
      <c r="AK101">
        <f t="shared" si="110"/>
        <v>-37.47783079999988</v>
      </c>
      <c r="AM101">
        <v>945</v>
      </c>
      <c r="AN101">
        <v>-1036.8</v>
      </c>
      <c r="AO101">
        <v>84.7</v>
      </c>
      <c r="AP101">
        <v>-855.6</v>
      </c>
      <c r="AQ101">
        <v>-14.4</v>
      </c>
      <c r="AS101">
        <v>-945</v>
      </c>
      <c r="AT101">
        <v>-77.6</v>
      </c>
      <c r="AU101">
        <v>1016.1</v>
      </c>
      <c r="AV101">
        <v>99</v>
      </c>
      <c r="AW101">
        <v>920.5</v>
      </c>
    </row>
    <row r="102" spans="1:90" ht="16.5">
      <c r="A102" s="1">
        <v>40084</v>
      </c>
      <c r="B102" s="13">
        <v>126.39147</v>
      </c>
      <c r="C102" s="13">
        <v>109.44109</v>
      </c>
      <c r="D102" s="13">
        <v>68.076083</v>
      </c>
      <c r="E102" s="13">
        <v>50.585195</v>
      </c>
      <c r="F102" s="13"/>
      <c r="G102" s="13">
        <v>1978.2188</v>
      </c>
      <c r="H102" s="13">
        <v>1983.6005</v>
      </c>
      <c r="I102" s="13">
        <v>81.270879</v>
      </c>
      <c r="J102" s="13">
        <v>86.842428</v>
      </c>
      <c r="L102">
        <f t="shared" si="89"/>
        <v>126.39147</v>
      </c>
      <c r="M102">
        <f t="shared" si="90"/>
        <v>109.44109</v>
      </c>
      <c r="N102">
        <f t="shared" si="91"/>
        <v>68.076083</v>
      </c>
      <c r="O102">
        <f t="shared" si="103"/>
        <v>50.585195</v>
      </c>
      <c r="Q102">
        <f t="shared" si="92"/>
        <v>1978.2188</v>
      </c>
      <c r="R102">
        <f t="shared" si="93"/>
        <v>1983.6005</v>
      </c>
      <c r="S102">
        <f t="shared" si="94"/>
        <v>81.270879</v>
      </c>
      <c r="T102">
        <f t="shared" si="104"/>
        <v>86.842428</v>
      </c>
      <c r="V102" s="7">
        <v>957.6383</v>
      </c>
      <c r="X102" s="2">
        <f>N102-V102</f>
        <v>-889.5622169999999</v>
      </c>
      <c r="Y102" s="2">
        <f>O102-V102</f>
        <v>-907.053105</v>
      </c>
      <c r="Z102" s="2">
        <f t="shared" si="97"/>
        <v>1038.909179</v>
      </c>
      <c r="AA102" s="2">
        <f t="shared" si="98"/>
        <v>1044.480728</v>
      </c>
      <c r="AC102">
        <f t="shared" si="107"/>
        <v>8.591660999999986</v>
      </c>
      <c r="AD102">
        <f t="shared" si="53"/>
        <v>15.226046500000084</v>
      </c>
      <c r="AH102">
        <f t="shared" si="108"/>
        <v>-27.668322569999987</v>
      </c>
      <c r="AI102">
        <f t="shared" si="108"/>
        <v>-27.68336879000003</v>
      </c>
      <c r="AJ102">
        <f t="shared" si="109"/>
        <v>-37.96404380000013</v>
      </c>
      <c r="AK102">
        <f t="shared" si="110"/>
        <v>-37.94102750000002</v>
      </c>
      <c r="AM102">
        <v>945</v>
      </c>
      <c r="AN102">
        <v>-1037.2</v>
      </c>
      <c r="AO102">
        <v>85.2</v>
      </c>
      <c r="AP102">
        <v>-854.7</v>
      </c>
      <c r="AQ102">
        <v>-14.8</v>
      </c>
      <c r="AS102">
        <v>-945</v>
      </c>
      <c r="AT102">
        <v>-78.2</v>
      </c>
      <c r="AU102">
        <v>1017.3</v>
      </c>
      <c r="AV102">
        <v>100.2</v>
      </c>
      <c r="AW102">
        <v>920.1</v>
      </c>
      <c r="BA102" s="17">
        <v>-675.036</v>
      </c>
      <c r="BB102" s="17">
        <v>-692.54</v>
      </c>
      <c r="BC102" s="17">
        <v>1019.33</v>
      </c>
      <c r="BD102" s="17">
        <v>1024.65</v>
      </c>
      <c r="BF102">
        <v>270</v>
      </c>
      <c r="BG102" t="s">
        <v>137</v>
      </c>
      <c r="BH102" t="s">
        <v>58</v>
      </c>
      <c r="BI102">
        <v>1800</v>
      </c>
      <c r="BJ102" s="7">
        <f>(1800-BI102)*0.25</f>
        <v>0</v>
      </c>
      <c r="BK102">
        <v>1800</v>
      </c>
      <c r="BL102" s="7">
        <f>(1800-BK102)*0.24</f>
        <v>0</v>
      </c>
      <c r="BM102">
        <v>306</v>
      </c>
      <c r="BN102">
        <v>306</v>
      </c>
      <c r="BP102">
        <f>BA102+(BM102-256)-256</f>
        <v>-881.036</v>
      </c>
      <c r="BQ102">
        <f>BB102+(BN102-256)-256</f>
        <v>-898.54</v>
      </c>
      <c r="BS102">
        <f>BC102+BL102</f>
        <v>1019.33</v>
      </c>
      <c r="BT102">
        <f>BD102+BL102</f>
        <v>1024.65</v>
      </c>
      <c r="BV102" s="7">
        <f>(BS102+$BV$7-146)*0.996</f>
        <v>912.15331685152</v>
      </c>
      <c r="BW102" s="7">
        <f>(BT102+$BV$7-146)*0.996</f>
        <v>917.4520368515202</v>
      </c>
      <c r="BY102">
        <f>BP102-(945-AM102)</f>
        <v>-881.036</v>
      </c>
      <c r="BZ102">
        <f>BQ102-(945-AM102)</f>
        <v>-898.54</v>
      </c>
      <c r="CA102">
        <f>BV102-(945+AS102)</f>
        <v>912.15331685152</v>
      </c>
      <c r="CB102">
        <f>BW102-(945+AS102)</f>
        <v>917.4520368515202</v>
      </c>
      <c r="CD102" s="7">
        <f>BY102*(-1)-(L102-1024+7.51)*1.031*(-1)</f>
        <v>-36.655584429999976</v>
      </c>
      <c r="CE102" s="7">
        <f>BZ102*(-1)-(M102-1024+7.51)*1.031*(-1)</f>
        <v>-36.62742620999995</v>
      </c>
      <c r="CF102" s="7">
        <f>CA102*(-1)-(Q102-1024-15.56)*1.031*(-1)</f>
        <v>55.60390594848013</v>
      </c>
      <c r="CG102" s="7">
        <f>CB102*(-1)-(R102-1024-15.56)*1.031*(-1)</f>
        <v>55.8537186484798</v>
      </c>
      <c r="CI102" s="7">
        <f>BY102*(-1)-(X102-1024*0.0545)*(-1)</f>
        <v>-64.33421699999997</v>
      </c>
      <c r="CJ102" s="7">
        <f>BZ102*(-1)-(Y102-1024*0.0545)*(-1)</f>
        <v>-64.32110499999999</v>
      </c>
      <c r="CK102" s="7">
        <f>CF102*(-1)-(Z102-1024-15.56)*1.031*(-1)</f>
        <v>-56.27490239948014</v>
      </c>
      <c r="CL102" s="7">
        <f>CG102*(-1)-(AA102-1024-15.56)*1.031*(-1)</f>
        <v>-50.7804480804798</v>
      </c>
    </row>
    <row r="103" spans="1:90" ht="16.5">
      <c r="A103" s="1">
        <v>40106</v>
      </c>
      <c r="B103" s="13">
        <v>127.96387</v>
      </c>
      <c r="C103" s="13">
        <v>109.66351</v>
      </c>
      <c r="D103" s="13"/>
      <c r="E103" s="13"/>
      <c r="F103" s="13"/>
      <c r="G103" s="13">
        <v>1977.6049</v>
      </c>
      <c r="H103" s="13">
        <v>1983.8291</v>
      </c>
      <c r="I103" s="13"/>
      <c r="J103" s="13"/>
      <c r="L103">
        <f t="shared" si="89"/>
        <v>127.96387</v>
      </c>
      <c r="M103">
        <f t="shared" si="90"/>
        <v>109.66351</v>
      </c>
      <c r="Q103">
        <f t="shared" si="92"/>
        <v>1977.6049</v>
      </c>
      <c r="R103">
        <f t="shared" si="93"/>
        <v>1983.8291</v>
      </c>
      <c r="V103" s="7">
        <v>963.67548</v>
      </c>
      <c r="X103" s="2"/>
      <c r="Y103" s="2"/>
      <c r="Z103" s="2"/>
      <c r="AA103" s="2"/>
      <c r="AC103" s="7"/>
      <c r="AD103" s="7"/>
      <c r="AE103" s="17">
        <v>7.4</v>
      </c>
      <c r="AF103" s="17">
        <v>15.8</v>
      </c>
      <c r="AM103">
        <v>945</v>
      </c>
      <c r="AN103">
        <v>-1037.8</v>
      </c>
      <c r="AO103">
        <v>85.7</v>
      </c>
      <c r="AP103">
        <v>-854.3</v>
      </c>
      <c r="AQ103">
        <v>-15.4</v>
      </c>
      <c r="AS103">
        <v>-945</v>
      </c>
      <c r="AT103">
        <v>-79.5</v>
      </c>
      <c r="AU103">
        <v>1017.5</v>
      </c>
      <c r="AV103">
        <v>99.9</v>
      </c>
      <c r="AW103">
        <v>919.6</v>
      </c>
      <c r="BA103" s="17">
        <v>-671.63</v>
      </c>
      <c r="BB103" s="17">
        <v>-691.043</v>
      </c>
      <c r="BC103" s="17">
        <v>1023.82</v>
      </c>
      <c r="BD103" s="17">
        <v>1030.47</v>
      </c>
      <c r="BF103">
        <v>276</v>
      </c>
      <c r="BG103" t="s">
        <v>138</v>
      </c>
      <c r="BH103" t="s">
        <v>158</v>
      </c>
      <c r="BI103">
        <v>1800</v>
      </c>
      <c r="BJ103" s="7">
        <f>(1800-BI103)*0.25</f>
        <v>0</v>
      </c>
      <c r="BK103">
        <v>1800</v>
      </c>
      <c r="BL103" s="7">
        <f>(1800-BK103)*0.24</f>
        <v>0</v>
      </c>
      <c r="BM103">
        <v>306</v>
      </c>
      <c r="BN103">
        <v>306</v>
      </c>
      <c r="BP103">
        <f>BA103+(BM103-256)-256</f>
        <v>-877.63</v>
      </c>
      <c r="BQ103">
        <f>BB103+(BN103-256)-256</f>
        <v>-897.043</v>
      </c>
      <c r="BS103">
        <f>BC103+BL103</f>
        <v>1023.82</v>
      </c>
      <c r="BT103">
        <f>BD103+BL103</f>
        <v>1030.47</v>
      </c>
      <c r="BV103" s="7">
        <f>(BS103+$BV$7-146)*0.996</f>
        <v>916.62535685152</v>
      </c>
      <c r="BW103" s="7">
        <f>(BT103+$BV$7-146)*0.996</f>
        <v>923.2487568515202</v>
      </c>
      <c r="BY103">
        <f>BP103-(945-AM103)</f>
        <v>-877.63</v>
      </c>
      <c r="BZ103">
        <f>BQ103-(945-AM103)</f>
        <v>-897.043</v>
      </c>
      <c r="CA103">
        <f>BV103-(945+AS103)</f>
        <v>916.62535685152</v>
      </c>
      <c r="CB103">
        <f>BW103-(945+AS103)</f>
        <v>923.2487568515202</v>
      </c>
      <c r="CD103" s="7">
        <f>BY103*(-1)-(L103-1024+7.51)*1.031*(-1)</f>
        <v>-38.44044002999988</v>
      </c>
      <c r="CE103" s="7">
        <f>BZ103*(-1)-(M103-1024+7.51)*1.031*(-1)</f>
        <v>-37.895111189999966</v>
      </c>
      <c r="CF103" s="7">
        <f>CA103*(-1)-(Q103-1024-15.56)*1.031*(-1)</f>
        <v>50.49893504848001</v>
      </c>
      <c r="CG103" s="7">
        <f>CB103*(-1)-(R103-1024-15.56)*1.031*(-1)</f>
        <v>50.292685248479756</v>
      </c>
      <c r="CI103" s="7"/>
      <c r="CJ103" s="7"/>
      <c r="CK103" s="7"/>
      <c r="CL103" s="7"/>
    </row>
    <row r="104" spans="1:51" ht="16.5">
      <c r="A104" s="1">
        <v>40150</v>
      </c>
      <c r="B104" s="13"/>
      <c r="C104" s="13"/>
      <c r="D104" s="13"/>
      <c r="E104" s="13"/>
      <c r="F104" s="13"/>
      <c r="G104" s="13"/>
      <c r="H104" s="13"/>
      <c r="I104" s="13"/>
      <c r="J104" s="13"/>
      <c r="V104" s="7">
        <v>973.47234</v>
      </c>
      <c r="X104" s="2"/>
      <c r="Y104" s="2"/>
      <c r="Z104" s="2"/>
      <c r="AA104" s="2"/>
      <c r="AC104" s="7"/>
      <c r="AD104" s="7"/>
      <c r="AY104" t="s">
        <v>118</v>
      </c>
    </row>
    <row r="105" spans="1:49" ht="16.5">
      <c r="A105" s="1">
        <v>40169</v>
      </c>
      <c r="B105" s="13">
        <v>129.41068</v>
      </c>
      <c r="C105" s="13">
        <v>108.86033</v>
      </c>
      <c r="D105" s="13"/>
      <c r="E105" s="13"/>
      <c r="F105" s="13"/>
      <c r="G105" s="13">
        <v>1976.398</v>
      </c>
      <c r="H105" s="13">
        <v>1983.7981</v>
      </c>
      <c r="I105" s="13"/>
      <c r="J105" s="13"/>
      <c r="L105">
        <f aca="true" t="shared" si="111" ref="L105:M107">B105</f>
        <v>129.41068</v>
      </c>
      <c r="M105">
        <f t="shared" si="111"/>
        <v>108.86033</v>
      </c>
      <c r="Q105">
        <f aca="true" t="shared" si="112" ref="Q105:R107">G105</f>
        <v>1976.398</v>
      </c>
      <c r="R105">
        <f t="shared" si="112"/>
        <v>1983.7981</v>
      </c>
      <c r="V105" s="7">
        <v>975.57748</v>
      </c>
      <c r="X105" s="2"/>
      <c r="Y105" s="2"/>
      <c r="Z105" s="2"/>
      <c r="AA105" s="2"/>
      <c r="AC105" s="7"/>
      <c r="AD105" s="7"/>
      <c r="AE105" s="17">
        <v>6.43</v>
      </c>
      <c r="AF105" s="17">
        <v>16.24</v>
      </c>
      <c r="AM105">
        <v>945</v>
      </c>
      <c r="AN105">
        <v>-1039.6</v>
      </c>
      <c r="AO105">
        <v>86.3</v>
      </c>
      <c r="AP105">
        <v>-853.4</v>
      </c>
      <c r="AQ105">
        <v>-16.2</v>
      </c>
      <c r="AS105">
        <v>-945</v>
      </c>
      <c r="AT105">
        <v>-80.8</v>
      </c>
      <c r="AU105">
        <v>1018</v>
      </c>
      <c r="AV105">
        <v>101.1</v>
      </c>
      <c r="AW105">
        <v>918.9</v>
      </c>
    </row>
    <row r="106" spans="1:49" ht="16.5">
      <c r="A106" s="1">
        <v>40212</v>
      </c>
      <c r="B106" s="13">
        <v>129.08741</v>
      </c>
      <c r="C106" s="13">
        <v>107.5056</v>
      </c>
      <c r="D106" s="13">
        <v>87.611742</v>
      </c>
      <c r="E106" s="13">
        <v>65.39235</v>
      </c>
      <c r="F106" s="13"/>
      <c r="G106" s="13">
        <v>1975.9332</v>
      </c>
      <c r="H106" s="13">
        <v>1983.176</v>
      </c>
      <c r="I106" s="13">
        <v>62.31844</v>
      </c>
      <c r="J106" s="13">
        <v>69.719473</v>
      </c>
      <c r="L106">
        <f t="shared" si="111"/>
        <v>129.08741</v>
      </c>
      <c r="M106">
        <f t="shared" si="111"/>
        <v>107.5056</v>
      </c>
      <c r="N106">
        <f>D106+(AM106-945)</f>
        <v>87.611742</v>
      </c>
      <c r="O106">
        <f>E106+(AM106-945)</f>
        <v>65.39235</v>
      </c>
      <c r="Q106">
        <f t="shared" si="112"/>
        <v>1975.9332</v>
      </c>
      <c r="R106">
        <f t="shared" si="112"/>
        <v>1983.176</v>
      </c>
      <c r="S106">
        <f aca="true" t="shared" si="113" ref="S106:S111">I106+(AS106+945)</f>
        <v>62.31844</v>
      </c>
      <c r="T106">
        <f aca="true" t="shared" si="114" ref="T106:T111">J106+(AS106+945)</f>
        <v>69.719473</v>
      </c>
      <c r="V106" s="7">
        <v>973.65261</v>
      </c>
      <c r="X106" s="2">
        <f>N106-V106</f>
        <v>-886.0408679999999</v>
      </c>
      <c r="Y106" s="2">
        <f>O106-V106</f>
        <v>-908.26026</v>
      </c>
      <c r="Z106" s="2">
        <f aca="true" t="shared" si="115" ref="Z106:Z111">S106+V106</f>
        <v>1035.9710499999999</v>
      </c>
      <c r="AA106" s="2">
        <f aca="true" t="shared" si="116" ref="AA106:AA111">T106+V106</f>
        <v>1043.372083</v>
      </c>
      <c r="AC106">
        <f>1.56-((X106+Y106)/2-(-891.276))</f>
        <v>7.434564000000078</v>
      </c>
      <c r="AD106">
        <f aca="true" t="shared" si="117" ref="AD106:AD111">11.16-((Z106+AA106)/2-1045.761)</f>
        <v>17.24943350000004</v>
      </c>
      <c r="AE106" s="17">
        <v>7.43</v>
      </c>
      <c r="AF106" s="17">
        <v>17.25</v>
      </c>
      <c r="AH106">
        <f>(X106-1024*0.0545)-(L106-1024+7.5)*1.031</f>
        <v>-26.926487709999947</v>
      </c>
      <c r="AI106">
        <f>(Y106-1024*0.0545)-(M106-1024+7.5)*1.031</f>
        <v>-26.895033600000033</v>
      </c>
      <c r="AJ106">
        <f>(Z106-2048*0.0545)-(Q106-1024-15.56)*1.031+2.5</f>
        <v>-38.54571920000001</v>
      </c>
      <c r="AK106">
        <f>(AA106-2048*0.0545)-(R106-1024-15.56)*1.031+2.5</f>
        <v>-38.61201299999993</v>
      </c>
      <c r="AM106">
        <v>945</v>
      </c>
      <c r="AN106">
        <v>-1040.4</v>
      </c>
      <c r="AO106">
        <v>86.2</v>
      </c>
      <c r="AP106">
        <v>-853.3</v>
      </c>
      <c r="AQ106">
        <v>-16.2</v>
      </c>
      <c r="AS106">
        <v>-945</v>
      </c>
      <c r="AT106">
        <v>-81.7</v>
      </c>
      <c r="AU106">
        <v>1017.8</v>
      </c>
      <c r="AV106">
        <v>101.2</v>
      </c>
      <c r="AW106">
        <v>918.9</v>
      </c>
    </row>
    <row r="107" spans="1:49" ht="16.5">
      <c r="A107" s="1">
        <v>40261</v>
      </c>
      <c r="B107" s="13">
        <v>123.64708</v>
      </c>
      <c r="C107" s="13">
        <v>105.30719</v>
      </c>
      <c r="G107" s="13">
        <v>1976.8153</v>
      </c>
      <c r="H107" s="13">
        <v>1981.7794</v>
      </c>
      <c r="I107">
        <v>75.46777</v>
      </c>
      <c r="J107">
        <v>80.604389</v>
      </c>
      <c r="L107">
        <f t="shared" si="111"/>
        <v>123.64708</v>
      </c>
      <c r="M107">
        <f t="shared" si="111"/>
        <v>105.30719</v>
      </c>
      <c r="Q107">
        <f t="shared" si="112"/>
        <v>1976.8153</v>
      </c>
      <c r="R107">
        <f t="shared" si="112"/>
        <v>1981.7794</v>
      </c>
      <c r="S107">
        <f t="shared" si="113"/>
        <v>75.46777</v>
      </c>
      <c r="T107">
        <f t="shared" si="114"/>
        <v>80.604389</v>
      </c>
      <c r="V107" s="7">
        <v>962.64589</v>
      </c>
      <c r="X107" s="2"/>
      <c r="Y107" s="2"/>
      <c r="Z107" s="2">
        <f t="shared" si="115"/>
        <v>1038.11366</v>
      </c>
      <c r="AA107" s="2">
        <f t="shared" si="116"/>
        <v>1043.250279</v>
      </c>
      <c r="AD107">
        <f t="shared" si="117"/>
        <v>16.239030500000045</v>
      </c>
      <c r="AJ107">
        <f aca="true" t="shared" si="118" ref="AJ107:AJ114">(Z107-2048*0.0545)-(Q107-1024-15.56)*1.031+2.5</f>
        <v>-37.31255429999999</v>
      </c>
      <c r="AK107">
        <f aca="true" t="shared" si="119" ref="AK107:AK114">(AA107-2048*0.0545)-(R107-1024-15.56)*1.031+2.5</f>
        <v>-37.293922399999815</v>
      </c>
      <c r="AM107">
        <v>945</v>
      </c>
      <c r="AN107">
        <v>-1038.8</v>
      </c>
      <c r="AO107">
        <v>84.7</v>
      </c>
      <c r="AP107">
        <v>-854.8</v>
      </c>
      <c r="AQ107">
        <v>-15.3</v>
      </c>
      <c r="AS107">
        <v>-945</v>
      </c>
      <c r="AT107">
        <v>-80.2</v>
      </c>
      <c r="AU107">
        <v>1016.7</v>
      </c>
      <c r="AV107">
        <v>99.6</v>
      </c>
      <c r="AW107">
        <v>920</v>
      </c>
    </row>
    <row r="108" spans="1:51" ht="16.5">
      <c r="A108" s="1">
        <v>40281</v>
      </c>
      <c r="B108" s="13">
        <v>121.61575</v>
      </c>
      <c r="C108" s="13">
        <v>104.88791</v>
      </c>
      <c r="D108">
        <v>61.860955</v>
      </c>
      <c r="E108">
        <v>44.429123</v>
      </c>
      <c r="G108" s="13">
        <v>1978.0311</v>
      </c>
      <c r="H108" s="13">
        <v>1981.6988</v>
      </c>
      <c r="I108">
        <v>85.327255</v>
      </c>
      <c r="J108">
        <v>89.207665</v>
      </c>
      <c r="L108">
        <f aca="true" t="shared" si="120" ref="L108:M111">B108</f>
        <v>121.61575</v>
      </c>
      <c r="M108">
        <f t="shared" si="120"/>
        <v>104.88791</v>
      </c>
      <c r="N108">
        <f aca="true" t="shared" si="121" ref="N108:N114">D108+(AM108-945)</f>
        <v>61.860955</v>
      </c>
      <c r="O108">
        <f aca="true" t="shared" si="122" ref="O108:O114">E108+(AM108-945)</f>
        <v>44.429123</v>
      </c>
      <c r="Q108">
        <f aca="true" t="shared" si="123" ref="Q108:R111">G108</f>
        <v>1978.0311</v>
      </c>
      <c r="R108">
        <f t="shared" si="123"/>
        <v>1981.6988</v>
      </c>
      <c r="S108">
        <f t="shared" si="113"/>
        <v>85.327255</v>
      </c>
      <c r="T108">
        <f t="shared" si="114"/>
        <v>89.207665</v>
      </c>
      <c r="V108" s="7">
        <v>957.15416</v>
      </c>
      <c r="X108" s="2">
        <f aca="true" t="shared" si="124" ref="X108:X114">N108-V108</f>
        <v>-895.2932050000001</v>
      </c>
      <c r="Y108" s="2">
        <f aca="true" t="shared" si="125" ref="Y108:Y114">O108-V108</f>
        <v>-912.725037</v>
      </c>
      <c r="Z108" s="2">
        <f t="shared" si="115"/>
        <v>1042.481415</v>
      </c>
      <c r="AA108" s="2">
        <f t="shared" si="116"/>
        <v>1046.361825</v>
      </c>
      <c r="AC108">
        <f aca="true" t="shared" si="126" ref="AC108:AC114">1.56-((X108+Y108)/2-(-891.276))</f>
        <v>14.293121000000097</v>
      </c>
      <c r="AD108">
        <f t="shared" si="117"/>
        <v>12.499379999999892</v>
      </c>
      <c r="AH108">
        <f aca="true" t="shared" si="127" ref="AH108:AI111">(X108-1024*0.0545)-(L108-1024+7.5)*1.031</f>
        <v>-28.475543250000214</v>
      </c>
      <c r="AI108">
        <f t="shared" si="127"/>
        <v>-28.660972210000182</v>
      </c>
      <c r="AJ108">
        <f t="shared" si="118"/>
        <v>-34.1982890999999</v>
      </c>
      <c r="AK108">
        <f t="shared" si="119"/>
        <v>-34.09927779999987</v>
      </c>
      <c r="AM108">
        <v>945</v>
      </c>
      <c r="AN108">
        <v>-1038</v>
      </c>
      <c r="AO108">
        <v>84.2</v>
      </c>
      <c r="AP108">
        <v>-855.6</v>
      </c>
      <c r="AQ108">
        <v>-15.6</v>
      </c>
      <c r="AS108">
        <v>-945</v>
      </c>
      <c r="AT108">
        <v>-79.1</v>
      </c>
      <c r="AU108">
        <v>1016</v>
      </c>
      <c r="AV108">
        <v>98.9</v>
      </c>
      <c r="AW108">
        <v>920.7</v>
      </c>
      <c r="AY108" t="s">
        <v>112</v>
      </c>
    </row>
    <row r="109" spans="1:49" ht="16.5">
      <c r="A109" s="1">
        <v>40297</v>
      </c>
      <c r="B109" s="13">
        <v>120.24486</v>
      </c>
      <c r="C109" s="13">
        <v>103.75714</v>
      </c>
      <c r="D109">
        <v>57.391029</v>
      </c>
      <c r="E109">
        <v>40.345872</v>
      </c>
      <c r="G109" s="13">
        <v>1978.2955</v>
      </c>
      <c r="H109" s="13">
        <v>1981.6347</v>
      </c>
      <c r="I109">
        <v>88.721037</v>
      </c>
      <c r="J109">
        <v>92.216743</v>
      </c>
      <c r="L109">
        <f t="shared" si="120"/>
        <v>120.24486</v>
      </c>
      <c r="M109">
        <f t="shared" si="120"/>
        <v>103.75714</v>
      </c>
      <c r="N109">
        <f t="shared" si="121"/>
        <v>57.391029</v>
      </c>
      <c r="O109">
        <f t="shared" si="122"/>
        <v>40.345872</v>
      </c>
      <c r="Q109">
        <f t="shared" si="123"/>
        <v>1978.2955</v>
      </c>
      <c r="R109">
        <f t="shared" si="123"/>
        <v>1981.6347</v>
      </c>
      <c r="S109">
        <f t="shared" si="113"/>
        <v>88.721037</v>
      </c>
      <c r="T109">
        <f t="shared" si="114"/>
        <v>92.216743</v>
      </c>
      <c r="V109" s="7">
        <v>953.00239</v>
      </c>
      <c r="X109" s="2">
        <f t="shared" si="124"/>
        <v>-895.611361</v>
      </c>
      <c r="Y109" s="2">
        <f t="shared" si="125"/>
        <v>-912.656518</v>
      </c>
      <c r="Z109" s="2">
        <f t="shared" si="115"/>
        <v>1041.723427</v>
      </c>
      <c r="AA109" s="2">
        <f t="shared" si="116"/>
        <v>1045.219133</v>
      </c>
      <c r="AC109">
        <f t="shared" si="126"/>
        <v>14.417939500000044</v>
      </c>
      <c r="AD109">
        <f t="shared" si="117"/>
        <v>13.449719999999989</v>
      </c>
      <c r="AH109">
        <f t="shared" si="127"/>
        <v>-27.380311660000075</v>
      </c>
      <c r="AI109">
        <f t="shared" si="127"/>
        <v>-27.42662934000009</v>
      </c>
      <c r="AJ109">
        <f t="shared" si="118"/>
        <v>-35.22887349999996</v>
      </c>
      <c r="AK109">
        <f t="shared" si="119"/>
        <v>-35.17588269999999</v>
      </c>
      <c r="AM109">
        <v>945</v>
      </c>
      <c r="AN109">
        <v>-1037.9</v>
      </c>
      <c r="AO109">
        <v>84.4</v>
      </c>
      <c r="AP109">
        <v>-855.8</v>
      </c>
      <c r="AQ109">
        <v>-14.2</v>
      </c>
      <c r="AS109">
        <v>-945</v>
      </c>
      <c r="AT109">
        <v>-78.8</v>
      </c>
      <c r="AU109">
        <v>1015.8</v>
      </c>
      <c r="AV109">
        <v>98.7</v>
      </c>
      <c r="AW109">
        <v>920.8</v>
      </c>
    </row>
    <row r="110" spans="1:51" ht="16.5">
      <c r="A110" s="1">
        <v>40303</v>
      </c>
      <c r="B110" s="13">
        <v>120.22876</v>
      </c>
      <c r="C110" s="13">
        <v>104.24102</v>
      </c>
      <c r="D110">
        <v>55.288582</v>
      </c>
      <c r="E110">
        <v>38.747206</v>
      </c>
      <c r="G110" s="13">
        <v>1978.2636</v>
      </c>
      <c r="H110" s="13">
        <v>1981.394</v>
      </c>
      <c r="I110">
        <v>90.860071</v>
      </c>
      <c r="J110">
        <v>94.237521</v>
      </c>
      <c r="L110">
        <f t="shared" si="120"/>
        <v>120.22876</v>
      </c>
      <c r="M110">
        <f t="shared" si="120"/>
        <v>104.24102</v>
      </c>
      <c r="N110">
        <f t="shared" si="121"/>
        <v>55.288582</v>
      </c>
      <c r="O110">
        <f t="shared" si="122"/>
        <v>38.747206</v>
      </c>
      <c r="Q110">
        <f t="shared" si="123"/>
        <v>1978.2636</v>
      </c>
      <c r="R110">
        <f t="shared" si="123"/>
        <v>1981.394</v>
      </c>
      <c r="S110">
        <f t="shared" si="113"/>
        <v>90.860071</v>
      </c>
      <c r="T110">
        <f t="shared" si="114"/>
        <v>94.237521</v>
      </c>
      <c r="V110" s="7">
        <v>951.56935</v>
      </c>
      <c r="X110" s="2">
        <f t="shared" si="124"/>
        <v>-896.280768</v>
      </c>
      <c r="Y110" s="2">
        <f t="shared" si="125"/>
        <v>-912.822144</v>
      </c>
      <c r="Z110" s="2">
        <f t="shared" si="115"/>
        <v>1042.429421</v>
      </c>
      <c r="AA110" s="2">
        <f t="shared" si="116"/>
        <v>1045.806871</v>
      </c>
      <c r="AC110">
        <f t="shared" si="126"/>
        <v>14.835455999999963</v>
      </c>
      <c r="AD110">
        <f t="shared" si="117"/>
        <v>12.802853999999943</v>
      </c>
      <c r="AH110">
        <f t="shared" si="127"/>
        <v>-28.033119560000046</v>
      </c>
      <c r="AI110">
        <f t="shared" si="127"/>
        <v>-28.091135620000045</v>
      </c>
      <c r="AJ110">
        <f t="shared" si="118"/>
        <v>-34.48999059999994</v>
      </c>
      <c r="AK110">
        <f t="shared" si="119"/>
        <v>-34.33998299999996</v>
      </c>
      <c r="AM110">
        <v>945</v>
      </c>
      <c r="AN110">
        <v>-1037.3</v>
      </c>
      <c r="AO110">
        <v>83.7</v>
      </c>
      <c r="AP110">
        <v>-855.8</v>
      </c>
      <c r="AQ110">
        <v>-14.2</v>
      </c>
      <c r="AS110">
        <v>-945</v>
      </c>
      <c r="AT110">
        <v>-78.7</v>
      </c>
      <c r="AU110">
        <v>1015.6</v>
      </c>
      <c r="AV110">
        <v>98.3</v>
      </c>
      <c r="AW110">
        <v>921.1</v>
      </c>
      <c r="AY110" t="s">
        <v>113</v>
      </c>
    </row>
    <row r="111" spans="1:51" ht="16.5">
      <c r="A111" s="1">
        <v>40307</v>
      </c>
      <c r="B111" s="13">
        <v>115.87025</v>
      </c>
      <c r="C111" s="13">
        <v>102.81093</v>
      </c>
      <c r="D111">
        <v>50.126642</v>
      </c>
      <c r="E111">
        <v>36.603383</v>
      </c>
      <c r="G111" s="13">
        <v>1980.573</v>
      </c>
      <c r="H111" s="13">
        <v>1981.2017</v>
      </c>
      <c r="I111">
        <v>94.32088</v>
      </c>
      <c r="J111">
        <v>94.947785</v>
      </c>
      <c r="L111">
        <f t="shared" si="120"/>
        <v>115.87025</v>
      </c>
      <c r="M111">
        <f t="shared" si="120"/>
        <v>102.81093</v>
      </c>
      <c r="N111">
        <f t="shared" si="121"/>
        <v>50.126642</v>
      </c>
      <c r="O111">
        <f t="shared" si="122"/>
        <v>36.603383</v>
      </c>
      <c r="Q111">
        <f t="shared" si="123"/>
        <v>1980.573</v>
      </c>
      <c r="R111">
        <f t="shared" si="123"/>
        <v>1981.2017</v>
      </c>
      <c r="S111">
        <f t="shared" si="113"/>
        <v>94.32088</v>
      </c>
      <c r="T111">
        <f t="shared" si="114"/>
        <v>94.947785</v>
      </c>
      <c r="V111" s="7">
        <v>950.66303</v>
      </c>
      <c r="X111" s="2">
        <f t="shared" si="124"/>
        <v>-900.5363880000001</v>
      </c>
      <c r="Y111" s="2">
        <f t="shared" si="125"/>
        <v>-914.059647</v>
      </c>
      <c r="Z111" s="2">
        <f t="shared" si="115"/>
        <v>1044.9839100000002</v>
      </c>
      <c r="AA111" s="2">
        <f t="shared" si="116"/>
        <v>1045.610815</v>
      </c>
      <c r="AC111">
        <f t="shared" si="126"/>
        <v>17.58201750000006</v>
      </c>
      <c r="AD111">
        <f t="shared" si="117"/>
        <v>11.623637500000005</v>
      </c>
      <c r="AH111">
        <f t="shared" si="127"/>
        <v>-27.79511575000015</v>
      </c>
      <c r="AI111">
        <f t="shared" si="127"/>
        <v>-27.854215830000044</v>
      </c>
      <c r="AJ111">
        <f t="shared" si="118"/>
        <v>-34.31649299999992</v>
      </c>
      <c r="AK111">
        <f t="shared" si="119"/>
        <v>-34.33777770000006</v>
      </c>
      <c r="AM111">
        <v>945</v>
      </c>
      <c r="AN111">
        <v>-1035.8</v>
      </c>
      <c r="AO111">
        <v>82.6</v>
      </c>
      <c r="AP111">
        <v>-857.6</v>
      </c>
      <c r="AQ111">
        <v>-12.8</v>
      </c>
      <c r="AS111">
        <v>-945</v>
      </c>
      <c r="AT111">
        <v>-76</v>
      </c>
      <c r="AU111">
        <v>1014.2</v>
      </c>
      <c r="AV111">
        <v>96.8</v>
      </c>
      <c r="AW111">
        <v>922.2</v>
      </c>
      <c r="AY111" t="s">
        <v>52</v>
      </c>
    </row>
    <row r="112" spans="1:51" ht="16.5">
      <c r="A112" s="1">
        <v>40312</v>
      </c>
      <c r="B112" s="13">
        <v>106.10121</v>
      </c>
      <c r="C112" s="13">
        <v>96.979908</v>
      </c>
      <c r="D112">
        <v>38.731846</v>
      </c>
      <c r="E112">
        <v>29.926002</v>
      </c>
      <c r="G112" s="13">
        <v>1983.8986</v>
      </c>
      <c r="H112" s="13">
        <v>1979.8051</v>
      </c>
      <c r="I112">
        <v>97.199988</v>
      </c>
      <c r="J112">
        <v>92.866184</v>
      </c>
      <c r="L112">
        <f>B112</f>
        <v>106.10121</v>
      </c>
      <c r="M112">
        <f>C112</f>
        <v>96.979908</v>
      </c>
      <c r="N112">
        <f t="shared" si="121"/>
        <v>38.731846</v>
      </c>
      <c r="O112">
        <f t="shared" si="122"/>
        <v>29.926002</v>
      </c>
      <c r="Q112">
        <f>G112</f>
        <v>1983.8986</v>
      </c>
      <c r="R112">
        <f>H112</f>
        <v>1979.8051</v>
      </c>
      <c r="S112">
        <f>I112+(AS112+945)</f>
        <v>97.199988</v>
      </c>
      <c r="T112">
        <f>J112+(AS112+945)</f>
        <v>92.866184</v>
      </c>
      <c r="V112" s="7">
        <v>949.59204</v>
      </c>
      <c r="X112" s="2">
        <f t="shared" si="124"/>
        <v>-910.860194</v>
      </c>
      <c r="Y112" s="2">
        <f t="shared" si="125"/>
        <v>-919.666038</v>
      </c>
      <c r="Z112" s="2">
        <f>S112+V112</f>
        <v>1046.792028</v>
      </c>
      <c r="AA112" s="2">
        <f>T112+V112</f>
        <v>1042.458224</v>
      </c>
      <c r="AC112">
        <f t="shared" si="126"/>
        <v>25.547116000000013</v>
      </c>
      <c r="AD112">
        <f>11.16-((Z112+AA112)/2-1045.761)</f>
        <v>12.295874000000058</v>
      </c>
      <c r="AH112">
        <f>(X112-1024*0.0545)-(L112-1024+7.5)*1.031</f>
        <v>-28.0470415100001</v>
      </c>
      <c r="AI112">
        <f>(Y112-1024*0.0545)-(M112-1024+7.5)*1.031</f>
        <v>-27.448823148000088</v>
      </c>
      <c r="AJ112">
        <f t="shared" si="118"/>
        <v>-35.93706859999986</v>
      </c>
      <c r="AK112">
        <f t="shared" si="119"/>
        <v>-36.050474099999974</v>
      </c>
      <c r="AM112">
        <v>945</v>
      </c>
      <c r="AN112">
        <v>-1033.8</v>
      </c>
      <c r="AO112">
        <v>80.4</v>
      </c>
      <c r="AP112">
        <v>-859.7</v>
      </c>
      <c r="AQ112">
        <v>-10.2</v>
      </c>
      <c r="AS112">
        <v>-945</v>
      </c>
      <c r="AT112">
        <v>-74.8</v>
      </c>
      <c r="AU112">
        <v>1012.1</v>
      </c>
      <c r="AV112">
        <v>94.4</v>
      </c>
      <c r="AW112">
        <v>924.7</v>
      </c>
      <c r="AY112" t="s">
        <v>121</v>
      </c>
    </row>
    <row r="113" spans="1:51" ht="16.5">
      <c r="A113" s="1">
        <v>40316</v>
      </c>
      <c r="B113" s="13">
        <v>101.74728</v>
      </c>
      <c r="C113" s="13">
        <v>93.89435</v>
      </c>
      <c r="D113">
        <v>33.231925</v>
      </c>
      <c r="E113">
        <v>25.797195</v>
      </c>
      <c r="G113" s="13">
        <v>1986.0338</v>
      </c>
      <c r="H113" s="13">
        <v>1980.0222</v>
      </c>
      <c r="I113">
        <v>100.57143</v>
      </c>
      <c r="J113">
        <v>94.169039</v>
      </c>
      <c r="L113">
        <f aca="true" t="shared" si="128" ref="L113:L137">B113</f>
        <v>101.74728</v>
      </c>
      <c r="M113">
        <f aca="true" t="shared" si="129" ref="M113:M137">C113</f>
        <v>93.89435</v>
      </c>
      <c r="N113">
        <f t="shared" si="121"/>
        <v>33.231925</v>
      </c>
      <c r="O113">
        <f t="shared" si="122"/>
        <v>25.797195</v>
      </c>
      <c r="Q113">
        <f aca="true" t="shared" si="130" ref="Q113:Q137">G113</f>
        <v>1986.0338</v>
      </c>
      <c r="R113">
        <f aca="true" t="shared" si="131" ref="R113:R137">H113</f>
        <v>1980.0222</v>
      </c>
      <c r="S113">
        <f aca="true" t="shared" si="132" ref="S113:S137">I113+(AS113+945)</f>
        <v>100.57143</v>
      </c>
      <c r="T113">
        <f aca="true" t="shared" si="133" ref="T113:T137">J113+(AS113+945)</f>
        <v>94.169039</v>
      </c>
      <c r="V113" s="7">
        <v>948.78914</v>
      </c>
      <c r="X113" s="2">
        <f t="shared" si="124"/>
        <v>-915.5572149999999</v>
      </c>
      <c r="Y113" s="2">
        <f t="shared" si="125"/>
        <v>-922.991945</v>
      </c>
      <c r="Z113" s="2">
        <f aca="true" t="shared" si="134" ref="Z113:Z137">S113+V113</f>
        <v>1049.36057</v>
      </c>
      <c r="AA113" s="2">
        <f aca="true" t="shared" si="135" ref="AA113:AA137">T113+V113</f>
        <v>1042.958179</v>
      </c>
      <c r="AC113">
        <f t="shared" si="126"/>
        <v>29.55858000000006</v>
      </c>
      <c r="AD113">
        <f aca="true" t="shared" si="136" ref="AD113:AD137">11.16-((Z113+AA113)/2-1045.761)</f>
        <v>10.761625499999955</v>
      </c>
      <c r="AH113">
        <f aca="true" t="shared" si="137" ref="AH113:AH137">(X113-1024*0.0545)-(L113-1024+7.5)*1.031</f>
        <v>-28.255160680000017</v>
      </c>
      <c r="AI113">
        <f aca="true" t="shared" si="138" ref="AI113:AI137">(Y113-1024*0.0545)-(M113-1024+7.5)*1.031</f>
        <v>-27.59351985000012</v>
      </c>
      <c r="AJ113">
        <f t="shared" si="118"/>
        <v>-35.56991779999987</v>
      </c>
      <c r="AK113">
        <f t="shared" si="119"/>
        <v>-35.774349200000074</v>
      </c>
      <c r="AM113">
        <v>945</v>
      </c>
      <c r="AN113">
        <v>-1033.4</v>
      </c>
      <c r="AO113">
        <v>79.6</v>
      </c>
      <c r="AP113">
        <v>-860.4</v>
      </c>
      <c r="AQ113">
        <v>-9.2</v>
      </c>
      <c r="AS113">
        <v>-945</v>
      </c>
      <c r="AT113">
        <v>-74.2</v>
      </c>
      <c r="AU113">
        <v>1011.2</v>
      </c>
      <c r="AV113">
        <v>93.7</v>
      </c>
      <c r="AW113">
        <v>925.9</v>
      </c>
      <c r="AY113" t="s">
        <v>122</v>
      </c>
    </row>
    <row r="114" spans="1:51" ht="16.5">
      <c r="A114" s="1">
        <v>40328</v>
      </c>
      <c r="B114" s="13">
        <v>92.983321</v>
      </c>
      <c r="C114" s="13">
        <v>87.973254</v>
      </c>
      <c r="D114">
        <v>22.676426</v>
      </c>
      <c r="E114">
        <v>17.957919</v>
      </c>
      <c r="G114" s="13">
        <v>1989.6533</v>
      </c>
      <c r="H114" s="13">
        <v>1980.1342</v>
      </c>
      <c r="I114">
        <v>107.08723</v>
      </c>
      <c r="J114">
        <v>96.986935</v>
      </c>
      <c r="L114">
        <f t="shared" si="128"/>
        <v>92.983321</v>
      </c>
      <c r="M114">
        <f t="shared" si="129"/>
        <v>87.973254</v>
      </c>
      <c r="N114">
        <f t="shared" si="121"/>
        <v>22.676426</v>
      </c>
      <c r="O114">
        <f t="shared" si="122"/>
        <v>17.957919</v>
      </c>
      <c r="Q114">
        <f t="shared" si="130"/>
        <v>1989.6533</v>
      </c>
      <c r="R114">
        <f t="shared" si="131"/>
        <v>1980.1342</v>
      </c>
      <c r="S114">
        <f t="shared" si="132"/>
        <v>107.08723</v>
      </c>
      <c r="T114">
        <f t="shared" si="133"/>
        <v>96.986935</v>
      </c>
      <c r="V114" s="7">
        <v>946.70143</v>
      </c>
      <c r="X114" s="2">
        <f t="shared" si="124"/>
        <v>-924.025004</v>
      </c>
      <c r="Y114" s="2">
        <f t="shared" si="125"/>
        <v>-928.743511</v>
      </c>
      <c r="Z114" s="2">
        <f t="shared" si="134"/>
        <v>1053.78866</v>
      </c>
      <c r="AA114" s="2">
        <f t="shared" si="135"/>
        <v>1043.688365</v>
      </c>
      <c r="AC114">
        <f t="shared" si="126"/>
        <v>36.66825750000004</v>
      </c>
      <c r="AD114">
        <f t="shared" si="136"/>
        <v>8.182487499999898</v>
      </c>
      <c r="AH114">
        <f t="shared" si="137"/>
        <v>-27.687307951000093</v>
      </c>
      <c r="AI114">
        <f t="shared" si="138"/>
        <v>-27.240435874000127</v>
      </c>
      <c r="AJ114">
        <f t="shared" si="118"/>
        <v>-34.873532299999965</v>
      </c>
      <c r="AK114">
        <f t="shared" si="119"/>
        <v>-35.15963519999991</v>
      </c>
      <c r="AM114">
        <v>945</v>
      </c>
      <c r="AN114">
        <v>-1031.8</v>
      </c>
      <c r="AO114">
        <v>77.7</v>
      </c>
      <c r="AP114">
        <v>-861.7</v>
      </c>
      <c r="AQ114">
        <v>-7.6</v>
      </c>
      <c r="AS114">
        <v>-945</v>
      </c>
      <c r="AT114">
        <v>-72.8</v>
      </c>
      <c r="AU114">
        <v>1009.4</v>
      </c>
      <c r="AV114">
        <v>92.7</v>
      </c>
      <c r="AW114">
        <v>927.8</v>
      </c>
      <c r="AY114" t="s">
        <v>52</v>
      </c>
    </row>
    <row r="115" spans="1:27" ht="16.5">
      <c r="A115" s="1">
        <v>40338</v>
      </c>
      <c r="B115" s="13"/>
      <c r="C115" s="13"/>
      <c r="G115" s="13"/>
      <c r="H115" s="13"/>
      <c r="V115" s="7">
        <v>945.36988</v>
      </c>
      <c r="X115" s="2"/>
      <c r="Y115" s="2"/>
      <c r="Z115" s="2"/>
      <c r="AA115" s="2"/>
    </row>
    <row r="116" spans="1:51" ht="16.5">
      <c r="A116" s="1">
        <v>40341</v>
      </c>
      <c r="B116" s="13">
        <v>88.635119</v>
      </c>
      <c r="C116" s="13">
        <v>85.3992</v>
      </c>
      <c r="D116">
        <v>16.667694</v>
      </c>
      <c r="E116">
        <v>13.234503</v>
      </c>
      <c r="G116" s="13">
        <v>1991.4158</v>
      </c>
      <c r="H116" s="13">
        <v>1980.1686</v>
      </c>
      <c r="I116">
        <v>110.92063</v>
      </c>
      <c r="J116">
        <v>99.34585</v>
      </c>
      <c r="L116">
        <f t="shared" si="128"/>
        <v>88.635119</v>
      </c>
      <c r="M116">
        <f t="shared" si="129"/>
        <v>85.3992</v>
      </c>
      <c r="N116">
        <f>D116+(AM116-945)</f>
        <v>16.667694</v>
      </c>
      <c r="O116">
        <f>E116+(AM116-945)</f>
        <v>13.234503</v>
      </c>
      <c r="Q116">
        <f t="shared" si="130"/>
        <v>1991.4158</v>
      </c>
      <c r="R116">
        <f t="shared" si="131"/>
        <v>1980.1686</v>
      </c>
      <c r="S116">
        <f t="shared" si="132"/>
        <v>110.92063</v>
      </c>
      <c r="T116">
        <f t="shared" si="133"/>
        <v>99.34585</v>
      </c>
      <c r="V116" s="7">
        <v>945.04849</v>
      </c>
      <c r="X116" s="2">
        <f>N116-V116</f>
        <v>-928.380796</v>
      </c>
      <c r="Y116" s="2">
        <f>O116-V116</f>
        <v>-931.813987</v>
      </c>
      <c r="Z116" s="2">
        <f t="shared" si="134"/>
        <v>1055.96912</v>
      </c>
      <c r="AA116" s="2">
        <f t="shared" si="135"/>
        <v>1044.39434</v>
      </c>
      <c r="AC116">
        <f>1.56-((X116+Y116)/2-(-891.276))</f>
        <v>40.38139150000001</v>
      </c>
      <c r="AD116">
        <f t="shared" si="136"/>
        <v>6.7392699999999515</v>
      </c>
      <c r="AH116">
        <f t="shared" si="137"/>
        <v>-27.56010368900013</v>
      </c>
      <c r="AI116">
        <f t="shared" si="138"/>
        <v>-27.65706220000004</v>
      </c>
      <c r="AJ116">
        <f>(Z116-2048*0.0545)-(Q116-1024-15.56)*1.031+2.5</f>
        <v>-34.510209799999984</v>
      </c>
      <c r="AK116">
        <f>(AA116-2048*0.0545)-(R116-1024-15.56)*1.031+2.5</f>
        <v>-34.48912659999985</v>
      </c>
      <c r="AM116">
        <v>945</v>
      </c>
      <c r="AN116">
        <v>-1031</v>
      </c>
      <c r="AO116">
        <v>76.8</v>
      </c>
      <c r="AP116">
        <v>-862.5</v>
      </c>
      <c r="AQ116">
        <v>-6.8</v>
      </c>
      <c r="AS116">
        <v>-945</v>
      </c>
      <c r="AT116">
        <v>-72.2</v>
      </c>
      <c r="AU116">
        <v>1008.5</v>
      </c>
      <c r="AV116">
        <v>91.8</v>
      </c>
      <c r="AW116">
        <v>928.5</v>
      </c>
      <c r="AY116" t="s">
        <v>52</v>
      </c>
    </row>
    <row r="117" spans="1:27" ht="16.5">
      <c r="A117" s="1">
        <v>40346</v>
      </c>
      <c r="B117" s="13"/>
      <c r="C117" s="13"/>
      <c r="G117" s="13"/>
      <c r="H117" s="13"/>
      <c r="V117" s="7">
        <v>944.5962</v>
      </c>
      <c r="X117" s="2"/>
      <c r="Y117" s="2"/>
      <c r="Z117" s="2"/>
      <c r="AA117" s="2"/>
    </row>
    <row r="118" spans="1:27" ht="16.5">
      <c r="A118" s="1">
        <v>40357</v>
      </c>
      <c r="B118" s="13"/>
      <c r="C118" s="13"/>
      <c r="G118" s="13"/>
      <c r="H118" s="13"/>
      <c r="V118" s="7">
        <v>943.979</v>
      </c>
      <c r="X118" s="2"/>
      <c r="Y118" s="2"/>
      <c r="Z118" s="2"/>
      <c r="AA118" s="2"/>
    </row>
    <row r="119" spans="1:51" ht="16.5">
      <c r="A119" s="1">
        <v>40363</v>
      </c>
      <c r="B119" s="13">
        <v>88.438655</v>
      </c>
      <c r="C119" s="13">
        <v>84.728504</v>
      </c>
      <c r="D119">
        <v>15.193117</v>
      </c>
      <c r="E119">
        <v>11.755175</v>
      </c>
      <c r="G119" s="13">
        <v>1991.9732</v>
      </c>
      <c r="H119" s="13">
        <v>1980.8771</v>
      </c>
      <c r="I119">
        <v>112.10745</v>
      </c>
      <c r="J119">
        <v>100.4017</v>
      </c>
      <c r="L119">
        <f t="shared" si="128"/>
        <v>88.438655</v>
      </c>
      <c r="M119">
        <f t="shared" si="129"/>
        <v>84.728504</v>
      </c>
      <c r="N119">
        <f>D119+(AM119-945)</f>
        <v>15.193117</v>
      </c>
      <c r="O119">
        <f>E119+(AM119-945)</f>
        <v>11.755175</v>
      </c>
      <c r="Q119">
        <f t="shared" si="130"/>
        <v>1991.9732</v>
      </c>
      <c r="R119">
        <f t="shared" si="131"/>
        <v>1980.8771</v>
      </c>
      <c r="S119">
        <f t="shared" si="132"/>
        <v>112.10745</v>
      </c>
      <c r="T119">
        <f t="shared" si="133"/>
        <v>100.4017</v>
      </c>
      <c r="V119" s="7">
        <v>943.86627</v>
      </c>
      <c r="X119" s="2">
        <f>N119-V119</f>
        <v>-928.673153</v>
      </c>
      <c r="Y119" s="2">
        <f>O119-V119</f>
        <v>-932.111095</v>
      </c>
      <c r="Z119" s="2">
        <f t="shared" si="134"/>
        <v>1055.97372</v>
      </c>
      <c r="AA119" s="2">
        <f t="shared" si="135"/>
        <v>1044.2679699999999</v>
      </c>
      <c r="AC119">
        <f>1.56-((X119+Y119)/2-(-891.276))</f>
        <v>40.676124000000016</v>
      </c>
      <c r="AD119">
        <f t="shared" si="136"/>
        <v>6.80015500000005</v>
      </c>
      <c r="AH119">
        <f t="shared" si="137"/>
        <v>-27.64990630500006</v>
      </c>
      <c r="AI119">
        <f t="shared" si="138"/>
        <v>-27.26268262400015</v>
      </c>
      <c r="AJ119">
        <f>(Z119-2048*0.0545)-(Q119-1024-15.56)*1.031+2.5</f>
        <v>-35.080289199999925</v>
      </c>
      <c r="AK119">
        <f>(AA119-2048*0.0545)-(R119-1024-15.56)*1.031+2.5</f>
        <v>-35.34596009999996</v>
      </c>
      <c r="AM119">
        <v>945</v>
      </c>
      <c r="AN119">
        <v>-1031</v>
      </c>
      <c r="AO119">
        <v>76.8</v>
      </c>
      <c r="AP119">
        <v>-862.5</v>
      </c>
      <c r="AQ119">
        <v>-6.5</v>
      </c>
      <c r="AS119">
        <v>-945</v>
      </c>
      <c r="AT119">
        <v>-72</v>
      </c>
      <c r="AU119">
        <v>1008.5</v>
      </c>
      <c r="AV119">
        <v>91.8</v>
      </c>
      <c r="AW119">
        <v>928.7</v>
      </c>
      <c r="AY119" t="s">
        <v>52</v>
      </c>
    </row>
    <row r="120" spans="1:51" ht="16.5">
      <c r="A120" s="1">
        <v>40368</v>
      </c>
      <c r="B120" s="13">
        <v>89.514013</v>
      </c>
      <c r="C120" s="13">
        <v>85.173558</v>
      </c>
      <c r="D120">
        <v>16.064532</v>
      </c>
      <c r="E120">
        <v>12.023377</v>
      </c>
      <c r="G120" s="13"/>
      <c r="H120" s="13"/>
      <c r="I120">
        <v>111.59774</v>
      </c>
      <c r="J120">
        <v>100.40613</v>
      </c>
      <c r="L120">
        <f t="shared" si="128"/>
        <v>89.514013</v>
      </c>
      <c r="M120">
        <f t="shared" si="129"/>
        <v>85.173558</v>
      </c>
      <c r="N120">
        <f>D120+(AM120-945)</f>
        <v>16.064532</v>
      </c>
      <c r="O120">
        <f>E120+(AM120-945)</f>
        <v>12.023377</v>
      </c>
      <c r="S120">
        <f t="shared" si="132"/>
        <v>111.59774</v>
      </c>
      <c r="T120">
        <f t="shared" si="133"/>
        <v>100.40613</v>
      </c>
      <c r="V120" s="7">
        <v>943.8943</v>
      </c>
      <c r="X120" s="2">
        <f>N120-V120</f>
        <v>-927.8297680000001</v>
      </c>
      <c r="Y120" s="2">
        <f>O120-V120</f>
        <v>-931.8709230000001</v>
      </c>
      <c r="Z120" s="2">
        <f t="shared" si="134"/>
        <v>1055.49204</v>
      </c>
      <c r="AA120" s="2">
        <f t="shared" si="135"/>
        <v>1044.30043</v>
      </c>
      <c r="AC120">
        <f>1.56-((X120+Y120)/2-(-891.276))</f>
        <v>40.13434550000005</v>
      </c>
      <c r="AD120">
        <f t="shared" si="136"/>
        <v>7.024764999999807</v>
      </c>
      <c r="AH120">
        <f t="shared" si="137"/>
        <v>-27.91521540300016</v>
      </c>
      <c r="AI120">
        <f t="shared" si="138"/>
        <v>-27.481361298000138</v>
      </c>
      <c r="AM120">
        <v>945</v>
      </c>
      <c r="AN120">
        <v>-1031.2</v>
      </c>
      <c r="AO120">
        <v>76.9</v>
      </c>
      <c r="AP120">
        <v>-862</v>
      </c>
      <c r="AQ120">
        <v>-6.5</v>
      </c>
      <c r="AS120">
        <v>-945</v>
      </c>
      <c r="AT120">
        <v>-72.4</v>
      </c>
      <c r="AU120">
        <v>1008.7</v>
      </c>
      <c r="AV120">
        <v>92.4</v>
      </c>
      <c r="AW120">
        <v>928.4</v>
      </c>
      <c r="AY120" t="s">
        <v>123</v>
      </c>
    </row>
    <row r="121" spans="1:27" ht="16.5">
      <c r="A121" s="1">
        <v>40374</v>
      </c>
      <c r="B121" s="13"/>
      <c r="C121" s="13"/>
      <c r="G121" s="13"/>
      <c r="H121" s="13"/>
      <c r="V121" s="7">
        <v>944.07405</v>
      </c>
      <c r="X121" s="2"/>
      <c r="Y121" s="2"/>
      <c r="Z121" s="2"/>
      <c r="AA121" s="2"/>
    </row>
    <row r="122" spans="1:51" ht="16.5">
      <c r="A122" s="1">
        <v>40381</v>
      </c>
      <c r="B122" s="13">
        <v>96.864536</v>
      </c>
      <c r="C122" s="13">
        <v>87.816219</v>
      </c>
      <c r="D122">
        <v>24.343419</v>
      </c>
      <c r="E122">
        <v>15.245188</v>
      </c>
      <c r="G122" s="13">
        <v>1988.539</v>
      </c>
      <c r="H122" s="13">
        <v>1981.0811</v>
      </c>
      <c r="I122">
        <v>107.40929</v>
      </c>
      <c r="J122">
        <v>99.503544</v>
      </c>
      <c r="L122">
        <f t="shared" si="128"/>
        <v>96.864536</v>
      </c>
      <c r="M122">
        <f t="shared" si="129"/>
        <v>87.816219</v>
      </c>
      <c r="N122">
        <f>D122+(AM122-945)</f>
        <v>24.343419</v>
      </c>
      <c r="O122">
        <f>E122+(AM122-945)</f>
        <v>15.245188</v>
      </c>
      <c r="Q122">
        <f t="shared" si="130"/>
        <v>1988.539</v>
      </c>
      <c r="R122">
        <f t="shared" si="131"/>
        <v>1981.0811</v>
      </c>
      <c r="S122">
        <f t="shared" si="132"/>
        <v>107.40929</v>
      </c>
      <c r="T122">
        <f t="shared" si="133"/>
        <v>99.503544</v>
      </c>
      <c r="V122" s="7">
        <v>944.48312</v>
      </c>
      <c r="X122" s="2">
        <f>N122-V122</f>
        <v>-920.139701</v>
      </c>
      <c r="Y122" s="2">
        <f>O122-V122</f>
        <v>-929.237932</v>
      </c>
      <c r="Z122" s="2">
        <f t="shared" si="134"/>
        <v>1051.89241</v>
      </c>
      <c r="AA122" s="2">
        <f t="shared" si="135"/>
        <v>1043.986664</v>
      </c>
      <c r="AC122">
        <f>1.56-((X122+Y122)/2-(-891.276))</f>
        <v>34.97281650000008</v>
      </c>
      <c r="AD122">
        <f t="shared" si="136"/>
        <v>8.981462999999994</v>
      </c>
      <c r="AH122">
        <f t="shared" si="137"/>
        <v>-27.803537616000085</v>
      </c>
      <c r="AI122">
        <f t="shared" si="138"/>
        <v>-27.572953789000167</v>
      </c>
      <c r="AJ122">
        <f>(Z122-2048*0.0545)-(Q122-1024-15.56)*1.031+2.5</f>
        <v>-35.62093900000002</v>
      </c>
      <c r="AK122">
        <f>(AA122-2048*0.0545)-(R122-1024-15.56)*1.031+2.5</f>
        <v>-35.83759010000006</v>
      </c>
      <c r="AM122">
        <v>945</v>
      </c>
      <c r="AN122">
        <v>-1033.4</v>
      </c>
      <c r="AO122">
        <v>78.6</v>
      </c>
      <c r="AP122">
        <v>-859.2</v>
      </c>
      <c r="AQ122">
        <v>-8.5</v>
      </c>
      <c r="AS122">
        <v>-945</v>
      </c>
      <c r="AT122">
        <v>-74.4</v>
      </c>
      <c r="AU122">
        <v>1010.4</v>
      </c>
      <c r="AV122">
        <v>95.1</v>
      </c>
      <c r="AW122">
        <v>926.8</v>
      </c>
      <c r="AY122" t="s">
        <v>52</v>
      </c>
    </row>
    <row r="123" spans="1:27" ht="16.5">
      <c r="A123" s="1">
        <v>40383</v>
      </c>
      <c r="B123" s="13"/>
      <c r="C123" s="13"/>
      <c r="G123" s="13"/>
      <c r="H123" s="13"/>
      <c r="V123" s="7">
        <v>944.63885</v>
      </c>
      <c r="X123" s="2"/>
      <c r="Y123" s="2"/>
      <c r="Z123" s="2"/>
      <c r="AA123" s="2"/>
    </row>
    <row r="124" spans="1:51" ht="16.5">
      <c r="A124" s="1">
        <v>40387</v>
      </c>
      <c r="B124" s="13">
        <v>102.13123</v>
      </c>
      <c r="C124" s="13">
        <v>90.407754</v>
      </c>
      <c r="D124">
        <v>29.973123</v>
      </c>
      <c r="E124">
        <v>18.278996</v>
      </c>
      <c r="G124" s="13">
        <v>1985.7083</v>
      </c>
      <c r="H124" s="13">
        <v>1980.8389</v>
      </c>
      <c r="I124">
        <v>104.42971</v>
      </c>
      <c r="J124">
        <v>99.040246</v>
      </c>
      <c r="L124">
        <f t="shared" si="128"/>
        <v>102.13123</v>
      </c>
      <c r="M124">
        <f t="shared" si="129"/>
        <v>90.407754</v>
      </c>
      <c r="N124">
        <f>D124+(AM124-945)</f>
        <v>29.973123</v>
      </c>
      <c r="O124">
        <f>E124+(AM124-945)</f>
        <v>18.278996</v>
      </c>
      <c r="Q124">
        <f t="shared" si="130"/>
        <v>1985.7083</v>
      </c>
      <c r="R124">
        <f t="shared" si="131"/>
        <v>1980.8389</v>
      </c>
      <c r="S124">
        <f t="shared" si="132"/>
        <v>104.42971</v>
      </c>
      <c r="T124">
        <f t="shared" si="133"/>
        <v>99.040246</v>
      </c>
      <c r="V124" s="7">
        <v>945.00116</v>
      </c>
      <c r="X124" s="2">
        <f>N124-V124</f>
        <v>-915.028037</v>
      </c>
      <c r="Y124" s="2">
        <f>O124-V124</f>
        <v>-926.722164</v>
      </c>
      <c r="Z124" s="2">
        <f t="shared" si="134"/>
        <v>1049.4308700000001</v>
      </c>
      <c r="AA124" s="2">
        <f t="shared" si="135"/>
        <v>1044.041406</v>
      </c>
      <c r="AC124">
        <f>1.56-((X124+Y124)/2-(-891.276))</f>
        <v>31.159100500000076</v>
      </c>
      <c r="AD124">
        <f t="shared" si="136"/>
        <v>10.184861999999757</v>
      </c>
      <c r="AH124">
        <f t="shared" si="137"/>
        <v>-28.121835130000022</v>
      </c>
      <c r="AI124">
        <f t="shared" si="138"/>
        <v>-27.729058374000033</v>
      </c>
      <c r="AJ124">
        <f>(Z124-2048*0.0545)-(Q124-1024-15.56)*1.031+2.5</f>
        <v>-35.164027299999816</v>
      </c>
      <c r="AK124">
        <f>(AA124-2048*0.0545)-(R124-1024-15.56)*1.031+2.5</f>
        <v>-35.533139899999924</v>
      </c>
      <c r="AM124">
        <v>945</v>
      </c>
      <c r="AN124">
        <v>-1034.7</v>
      </c>
      <c r="AO124">
        <v>79.6</v>
      </c>
      <c r="AP124">
        <v>-857.9</v>
      </c>
      <c r="AQ124">
        <v>-9.7</v>
      </c>
      <c r="AS124">
        <v>-945</v>
      </c>
      <c r="AT124">
        <v>-75.7</v>
      </c>
      <c r="AU124">
        <v>1011.7</v>
      </c>
      <c r="AV124">
        <v>96.4</v>
      </c>
      <c r="AW124">
        <v>925.6</v>
      </c>
      <c r="AY124" t="s">
        <v>52</v>
      </c>
    </row>
    <row r="125" spans="1:27" ht="16.5">
      <c r="A125" s="1">
        <v>40391</v>
      </c>
      <c r="B125" s="13"/>
      <c r="C125" s="13"/>
      <c r="G125" s="13"/>
      <c r="H125" s="13"/>
      <c r="V125" s="7">
        <v>945.43009</v>
      </c>
      <c r="X125" s="2"/>
      <c r="Y125" s="2"/>
      <c r="Z125" s="2"/>
      <c r="AA125" s="2"/>
    </row>
    <row r="126" spans="1:51" ht="16.5">
      <c r="A126" s="1">
        <v>40393</v>
      </c>
      <c r="B126" s="13">
        <v>110.44192</v>
      </c>
      <c r="C126" s="13">
        <v>95.105515</v>
      </c>
      <c r="D126">
        <v>38.748039</v>
      </c>
      <c r="E126">
        <v>23.682211</v>
      </c>
      <c r="G126" s="13">
        <v>1982.9833</v>
      </c>
      <c r="H126" s="13">
        <v>1981.6794</v>
      </c>
      <c r="I126">
        <v>98.493415</v>
      </c>
      <c r="J126">
        <v>97.031623</v>
      </c>
      <c r="L126">
        <f t="shared" si="128"/>
        <v>110.44192</v>
      </c>
      <c r="M126">
        <f t="shared" si="129"/>
        <v>95.105515</v>
      </c>
      <c r="N126">
        <f aca="true" t="shared" si="139" ref="N126:N137">D126+(AM126-945)</f>
        <v>38.748039</v>
      </c>
      <c r="O126">
        <f aca="true" t="shared" si="140" ref="O126:O137">E126+(AM126-945)</f>
        <v>23.682211</v>
      </c>
      <c r="Q126">
        <f t="shared" si="130"/>
        <v>1982.9833</v>
      </c>
      <c r="R126">
        <f t="shared" si="131"/>
        <v>1981.6794</v>
      </c>
      <c r="S126">
        <f t="shared" si="132"/>
        <v>98.493415</v>
      </c>
      <c r="T126">
        <f t="shared" si="133"/>
        <v>97.031623</v>
      </c>
      <c r="V126" s="7">
        <v>945.66902</v>
      </c>
      <c r="X126" s="2">
        <f aca="true" t="shared" si="141" ref="X126:X137">N126-V126</f>
        <v>-906.9209810000001</v>
      </c>
      <c r="Y126" s="2">
        <f aca="true" t="shared" si="142" ref="Y126:Y137">O126-V126</f>
        <v>-921.986809</v>
      </c>
      <c r="Z126" s="2">
        <f t="shared" si="134"/>
        <v>1044.162435</v>
      </c>
      <c r="AA126" s="2">
        <f t="shared" si="135"/>
        <v>1042.7006430000001</v>
      </c>
      <c r="AC126">
        <f aca="true" t="shared" si="143" ref="AC126:AC137">1.56-((X126+Y126)/2-(-891.276))</f>
        <v>24.737895000000147</v>
      </c>
      <c r="AD126">
        <f t="shared" si="136"/>
        <v>13.48946099999981</v>
      </c>
      <c r="AH126">
        <f t="shared" si="137"/>
        <v>-28.58310052000013</v>
      </c>
      <c r="AI126">
        <f t="shared" si="138"/>
        <v>-27.837094965000006</v>
      </c>
      <c r="AJ126">
        <f aca="true" t="shared" si="144" ref="AJ126:AK137">(Z126-2048*0.0545)-(Q126-1024-15.56)*1.031+2.5</f>
        <v>-37.62298730000009</v>
      </c>
      <c r="AK126">
        <f t="shared" si="144"/>
        <v>-37.74045839999985</v>
      </c>
      <c r="AM126">
        <v>945</v>
      </c>
      <c r="AN126">
        <v>-1036.4</v>
      </c>
      <c r="AO126">
        <v>81.6</v>
      </c>
      <c r="AP126">
        <v>-856.3</v>
      </c>
      <c r="AQ126">
        <v>-11.4</v>
      </c>
      <c r="AS126">
        <v>-945</v>
      </c>
      <c r="AT126">
        <v>-77.5</v>
      </c>
      <c r="AU126">
        <v>1013.6</v>
      </c>
      <c r="AV126">
        <v>98.2</v>
      </c>
      <c r="AW126">
        <v>923.8</v>
      </c>
      <c r="AY126" t="s">
        <v>74</v>
      </c>
    </row>
    <row r="127" spans="1:49" ht="16.5">
      <c r="A127" s="1">
        <v>40398</v>
      </c>
      <c r="B127" s="13">
        <v>121.23515</v>
      </c>
      <c r="C127" s="13">
        <v>101.48624</v>
      </c>
      <c r="D127">
        <v>51.372214</v>
      </c>
      <c r="E127">
        <v>30.989186</v>
      </c>
      <c r="G127" s="13">
        <v>1978.7519</v>
      </c>
      <c r="H127" s="13">
        <v>1982.3522</v>
      </c>
      <c r="I127">
        <v>93.704494</v>
      </c>
      <c r="J127">
        <v>97.459783</v>
      </c>
      <c r="L127">
        <f t="shared" si="128"/>
        <v>121.23515</v>
      </c>
      <c r="M127">
        <f t="shared" si="129"/>
        <v>101.48624</v>
      </c>
      <c r="N127">
        <f t="shared" si="139"/>
        <v>51.372214</v>
      </c>
      <c r="O127">
        <f t="shared" si="140"/>
        <v>30.989186</v>
      </c>
      <c r="Q127">
        <f t="shared" si="130"/>
        <v>1978.7519</v>
      </c>
      <c r="R127">
        <f t="shared" si="131"/>
        <v>1982.3522</v>
      </c>
      <c r="S127">
        <f t="shared" si="132"/>
        <v>93.704494</v>
      </c>
      <c r="T127">
        <f t="shared" si="133"/>
        <v>97.459783</v>
      </c>
      <c r="V127" s="7">
        <v>946.33582</v>
      </c>
      <c r="X127" s="2">
        <f t="shared" si="141"/>
        <v>-894.963606</v>
      </c>
      <c r="Y127" s="2">
        <f t="shared" si="142"/>
        <v>-915.346634</v>
      </c>
      <c r="Z127" s="2">
        <f t="shared" si="134"/>
        <v>1040.040314</v>
      </c>
      <c r="AA127" s="2">
        <f t="shared" si="135"/>
        <v>1043.795603</v>
      </c>
      <c r="AC127">
        <f t="shared" si="143"/>
        <v>15.439120000000058</v>
      </c>
      <c r="AD127">
        <f t="shared" si="136"/>
        <v>15.0030414999998</v>
      </c>
      <c r="AH127">
        <f t="shared" si="137"/>
        <v>-27.753545650000092</v>
      </c>
      <c r="AI127">
        <f t="shared" si="138"/>
        <v>-27.775447439999994</v>
      </c>
      <c r="AJ127">
        <f t="shared" si="144"/>
        <v>-37.38253489999988</v>
      </c>
      <c r="AK127">
        <f t="shared" si="144"/>
        <v>-37.33915519999994</v>
      </c>
      <c r="AM127">
        <v>945</v>
      </c>
      <c r="AN127">
        <v>-1039.1</v>
      </c>
      <c r="AO127">
        <v>84.6</v>
      </c>
      <c r="AP127">
        <v>-853.7</v>
      </c>
      <c r="AQ127">
        <v>-13.8</v>
      </c>
      <c r="AS127">
        <v>-945</v>
      </c>
      <c r="AT127">
        <v>-80.4</v>
      </c>
      <c r="AU127">
        <v>1016.2</v>
      </c>
      <c r="AV127">
        <v>101</v>
      </c>
      <c r="AW127">
        <v>921.1</v>
      </c>
    </row>
    <row r="128" spans="1:49" ht="16.5">
      <c r="A128" s="1">
        <v>40402</v>
      </c>
      <c r="B128" s="13">
        <v>121.59002</v>
      </c>
      <c r="C128" s="13">
        <v>102.06996</v>
      </c>
      <c r="D128">
        <v>51.947661</v>
      </c>
      <c r="E128">
        <v>31.783692</v>
      </c>
      <c r="G128" s="13">
        <v>1978.4292</v>
      </c>
      <c r="H128" s="13">
        <v>1982.1661</v>
      </c>
      <c r="I128">
        <v>94.397367</v>
      </c>
      <c r="J128">
        <v>98.16508</v>
      </c>
      <c r="L128">
        <f t="shared" si="128"/>
        <v>121.59002</v>
      </c>
      <c r="M128">
        <f t="shared" si="129"/>
        <v>102.06996</v>
      </c>
      <c r="N128">
        <f t="shared" si="139"/>
        <v>51.947661</v>
      </c>
      <c r="O128">
        <f t="shared" si="140"/>
        <v>31.783692</v>
      </c>
      <c r="Q128">
        <f t="shared" si="130"/>
        <v>1978.4292</v>
      </c>
      <c r="R128">
        <f t="shared" si="131"/>
        <v>1982.1661</v>
      </c>
      <c r="S128">
        <f t="shared" si="132"/>
        <v>94.397367</v>
      </c>
      <c r="T128">
        <f t="shared" si="133"/>
        <v>98.16508</v>
      </c>
      <c r="V128" s="7">
        <v>946.93852</v>
      </c>
      <c r="X128" s="2">
        <f t="shared" si="141"/>
        <v>-894.990859</v>
      </c>
      <c r="Y128" s="2">
        <f t="shared" si="142"/>
        <v>-915.1548280000001</v>
      </c>
      <c r="Z128" s="2">
        <f t="shared" si="134"/>
        <v>1041.335887</v>
      </c>
      <c r="AA128" s="2">
        <f t="shared" si="135"/>
        <v>1045.1036000000001</v>
      </c>
      <c r="AC128">
        <f t="shared" si="143"/>
        <v>15.356843500000137</v>
      </c>
      <c r="AD128">
        <f t="shared" si="136"/>
        <v>13.701256499999918</v>
      </c>
      <c r="AH128">
        <f t="shared" si="137"/>
        <v>-28.14666962000001</v>
      </c>
      <c r="AI128">
        <f t="shared" si="138"/>
        <v>-28.185456760000193</v>
      </c>
      <c r="AJ128">
        <f t="shared" si="144"/>
        <v>-35.754258200000095</v>
      </c>
      <c r="AK128">
        <f t="shared" si="144"/>
        <v>-35.839289099999746</v>
      </c>
      <c r="AM128">
        <v>945</v>
      </c>
      <c r="AN128">
        <v>-1039.1</v>
      </c>
      <c r="AO128">
        <v>84.5</v>
      </c>
      <c r="AP128">
        <v>-853.9</v>
      </c>
      <c r="AQ128">
        <v>-14.1</v>
      </c>
      <c r="AS128">
        <v>-945</v>
      </c>
      <c r="AT128">
        <v>-80.3</v>
      </c>
      <c r="AU128">
        <v>1016.2</v>
      </c>
      <c r="AV128">
        <v>100.9</v>
      </c>
      <c r="AW128">
        <v>921</v>
      </c>
    </row>
    <row r="129" spans="1:49" ht="16.5">
      <c r="A129" s="1">
        <v>40410</v>
      </c>
      <c r="B129" s="13">
        <v>121.47049</v>
      </c>
      <c r="C129" s="13">
        <v>101.89984</v>
      </c>
      <c r="D129">
        <v>52.46274</v>
      </c>
      <c r="E129">
        <v>32.3955715</v>
      </c>
      <c r="G129" s="13">
        <v>1978.5466</v>
      </c>
      <c r="H129" s="13">
        <v>1982.0622</v>
      </c>
      <c r="I129">
        <v>93.455715</v>
      </c>
      <c r="J129">
        <v>97.246414</v>
      </c>
      <c r="L129">
        <f t="shared" si="128"/>
        <v>121.47049</v>
      </c>
      <c r="M129">
        <f t="shared" si="129"/>
        <v>101.89984</v>
      </c>
      <c r="N129">
        <f t="shared" si="139"/>
        <v>52.46274</v>
      </c>
      <c r="O129">
        <f t="shared" si="140"/>
        <v>32.3955715</v>
      </c>
      <c r="Q129">
        <f t="shared" si="130"/>
        <v>1978.5466</v>
      </c>
      <c r="R129">
        <f t="shared" si="131"/>
        <v>1982.0622</v>
      </c>
      <c r="S129">
        <f t="shared" si="132"/>
        <v>93.455715</v>
      </c>
      <c r="T129">
        <f t="shared" si="133"/>
        <v>97.246414</v>
      </c>
      <c r="V129" s="7">
        <v>948.3182</v>
      </c>
      <c r="X129" s="2">
        <f t="shared" si="141"/>
        <v>-895.85546</v>
      </c>
      <c r="Y129" s="2">
        <f t="shared" si="142"/>
        <v>-915.9226285000001</v>
      </c>
      <c r="Z129" s="2">
        <f t="shared" si="134"/>
        <v>1041.773915</v>
      </c>
      <c r="AA129" s="2">
        <f t="shared" si="135"/>
        <v>1045.5646140000001</v>
      </c>
      <c r="AC129">
        <f t="shared" si="143"/>
        <v>16.173044250000142</v>
      </c>
      <c r="AD129">
        <f t="shared" si="136"/>
        <v>13.251735499999914</v>
      </c>
      <c r="AH129">
        <f t="shared" si="137"/>
        <v>-28.888035190000096</v>
      </c>
      <c r="AI129">
        <f t="shared" si="138"/>
        <v>-28.777863540000226</v>
      </c>
      <c r="AJ129">
        <f t="shared" si="144"/>
        <v>-35.43726959999992</v>
      </c>
      <c r="AK129">
        <f t="shared" si="144"/>
        <v>-35.271154199999955</v>
      </c>
      <c r="AM129">
        <v>945</v>
      </c>
      <c r="AN129">
        <v>-1038.7</v>
      </c>
      <c r="AO129">
        <v>84.5</v>
      </c>
      <c r="AP129">
        <v>-853.7</v>
      </c>
      <c r="AQ129">
        <v>-13.9</v>
      </c>
      <c r="AS129">
        <v>-945</v>
      </c>
      <c r="AT129">
        <v>-79.9</v>
      </c>
      <c r="AU129">
        <v>1016.4</v>
      </c>
      <c r="AV129">
        <v>101.2</v>
      </c>
      <c r="AW129">
        <v>921.2</v>
      </c>
    </row>
    <row r="130" spans="1:49" ht="16.5">
      <c r="A130" s="1">
        <v>40417</v>
      </c>
      <c r="B130" s="13">
        <v>121.60681</v>
      </c>
      <c r="C130" s="13">
        <v>101.90057</v>
      </c>
      <c r="D130">
        <v>53.990092</v>
      </c>
      <c r="E130">
        <v>33.521598</v>
      </c>
      <c r="G130" s="13">
        <v>1978.3614</v>
      </c>
      <c r="H130" s="13">
        <v>1982.0085</v>
      </c>
      <c r="I130">
        <v>92.262784</v>
      </c>
      <c r="J130">
        <v>96.068409</v>
      </c>
      <c r="L130">
        <f t="shared" si="128"/>
        <v>121.60681</v>
      </c>
      <c r="M130">
        <f t="shared" si="129"/>
        <v>101.90057</v>
      </c>
      <c r="N130">
        <f t="shared" si="139"/>
        <v>53.990092</v>
      </c>
      <c r="O130">
        <f t="shared" si="140"/>
        <v>33.521598</v>
      </c>
      <c r="Q130">
        <f t="shared" si="130"/>
        <v>1978.3614</v>
      </c>
      <c r="R130">
        <f t="shared" si="131"/>
        <v>1982.0085</v>
      </c>
      <c r="S130">
        <f t="shared" si="132"/>
        <v>92.262784</v>
      </c>
      <c r="T130">
        <f t="shared" si="133"/>
        <v>96.068409</v>
      </c>
      <c r="V130" s="7">
        <v>949.70136</v>
      </c>
      <c r="X130" s="2">
        <f t="shared" si="141"/>
        <v>-895.711268</v>
      </c>
      <c r="Y130" s="2">
        <f t="shared" si="142"/>
        <v>-916.179762</v>
      </c>
      <c r="Z130" s="2">
        <f t="shared" si="134"/>
        <v>1041.964144</v>
      </c>
      <c r="AA130" s="2">
        <f t="shared" si="135"/>
        <v>1045.769769</v>
      </c>
      <c r="AC130">
        <f t="shared" si="143"/>
        <v>16.229515000000045</v>
      </c>
      <c r="AD130">
        <f t="shared" si="136"/>
        <v>13.054043499999953</v>
      </c>
      <c r="AH130">
        <f t="shared" si="137"/>
        <v>-28.88438911000003</v>
      </c>
      <c r="AI130">
        <f t="shared" si="138"/>
        <v>-29.035749670000087</v>
      </c>
      <c r="AJ130">
        <f t="shared" si="144"/>
        <v>-35.05609939999988</v>
      </c>
      <c r="AK130">
        <f t="shared" si="144"/>
        <v>-35.010634499999924</v>
      </c>
      <c r="AM130">
        <v>945</v>
      </c>
      <c r="AN130">
        <v>-1038.7</v>
      </c>
      <c r="AO130">
        <v>84.7</v>
      </c>
      <c r="AP130">
        <v>-853.3</v>
      </c>
      <c r="AQ130">
        <v>-14.2</v>
      </c>
      <c r="AS130">
        <v>-945</v>
      </c>
      <c r="AT130">
        <v>-80</v>
      </c>
      <c r="AU130">
        <v>1016.4</v>
      </c>
      <c r="AV130">
        <v>101.2</v>
      </c>
      <c r="AW130">
        <v>921.2</v>
      </c>
    </row>
    <row r="131" spans="1:49" ht="16.5">
      <c r="A131" s="1">
        <v>40510</v>
      </c>
      <c r="B131" s="13">
        <v>128.11141</v>
      </c>
      <c r="C131" s="13">
        <v>103.91629</v>
      </c>
      <c r="D131">
        <v>85.179516</v>
      </c>
      <c r="E131">
        <v>60.427873</v>
      </c>
      <c r="G131" s="13">
        <v>1974.9555</v>
      </c>
      <c r="H131" s="13">
        <v>1981.9243</v>
      </c>
      <c r="I131">
        <v>65.00566</v>
      </c>
      <c r="J131">
        <v>72.05447</v>
      </c>
      <c r="L131">
        <f t="shared" si="128"/>
        <v>128.11141</v>
      </c>
      <c r="M131">
        <f t="shared" si="129"/>
        <v>103.91629</v>
      </c>
      <c r="N131">
        <f t="shared" si="139"/>
        <v>85.179516</v>
      </c>
      <c r="O131">
        <f t="shared" si="140"/>
        <v>60.427873</v>
      </c>
      <c r="Q131">
        <f t="shared" si="130"/>
        <v>1974.9555</v>
      </c>
      <c r="R131">
        <f t="shared" si="131"/>
        <v>1981.9243</v>
      </c>
      <c r="S131">
        <f t="shared" si="132"/>
        <v>65.00566</v>
      </c>
      <c r="T131">
        <f t="shared" si="133"/>
        <v>72.05447</v>
      </c>
      <c r="V131" s="7">
        <v>972.62059</v>
      </c>
      <c r="X131" s="2">
        <f t="shared" si="141"/>
        <v>-887.441074</v>
      </c>
      <c r="Y131" s="2">
        <f t="shared" si="142"/>
        <v>-912.192717</v>
      </c>
      <c r="Z131" s="2">
        <f t="shared" si="134"/>
        <v>1037.62625</v>
      </c>
      <c r="AA131" s="2">
        <f t="shared" si="135"/>
        <v>1044.67506</v>
      </c>
      <c r="AC131">
        <f t="shared" si="143"/>
        <v>10.100895500000034</v>
      </c>
      <c r="AD131">
        <f t="shared" si="136"/>
        <v>15.770345000000052</v>
      </c>
      <c r="AH131">
        <f t="shared" si="137"/>
        <v>-27.320437709999965</v>
      </c>
      <c r="AI131">
        <f t="shared" si="138"/>
        <v>-27.126911990000053</v>
      </c>
      <c r="AJ131">
        <f t="shared" si="144"/>
        <v>-35.88251049999997</v>
      </c>
      <c r="AK131">
        <f t="shared" si="144"/>
        <v>-36.01853329999983</v>
      </c>
      <c r="AM131">
        <v>945</v>
      </c>
      <c r="AN131">
        <v>-1041.2</v>
      </c>
      <c r="AO131">
        <v>86.1</v>
      </c>
      <c r="AP131">
        <v>-851.3</v>
      </c>
      <c r="AQ131">
        <v>-16.1</v>
      </c>
      <c r="AS131">
        <v>-945</v>
      </c>
      <c r="AT131">
        <v>-82.8</v>
      </c>
      <c r="AU131">
        <v>1017.9</v>
      </c>
      <c r="AV131">
        <v>102.8</v>
      </c>
      <c r="AW131">
        <v>919.2</v>
      </c>
    </row>
    <row r="132" spans="1:49" ht="16.5">
      <c r="A132" s="1">
        <v>40547</v>
      </c>
      <c r="B132" s="13">
        <v>128.35785</v>
      </c>
      <c r="C132" s="13">
        <v>103.51255</v>
      </c>
      <c r="D132">
        <v>88.416274</v>
      </c>
      <c r="E132">
        <v>62.744547</v>
      </c>
      <c r="G132" s="13">
        <v>1974.5262</v>
      </c>
      <c r="H132" s="13">
        <v>1981.7699</v>
      </c>
      <c r="I132">
        <v>60.759337</v>
      </c>
      <c r="J132">
        <v>68.307</v>
      </c>
      <c r="L132">
        <f t="shared" si="128"/>
        <v>128.35785</v>
      </c>
      <c r="M132">
        <f t="shared" si="129"/>
        <v>103.51255</v>
      </c>
      <c r="N132">
        <f t="shared" si="139"/>
        <v>88.416274</v>
      </c>
      <c r="O132">
        <f t="shared" si="140"/>
        <v>62.744547</v>
      </c>
      <c r="Q132">
        <f t="shared" si="130"/>
        <v>1974.5262</v>
      </c>
      <c r="R132">
        <f t="shared" si="131"/>
        <v>1981.7699</v>
      </c>
      <c r="S132">
        <f t="shared" si="132"/>
        <v>60.759337</v>
      </c>
      <c r="T132">
        <f t="shared" si="133"/>
        <v>68.307</v>
      </c>
      <c r="V132" s="7">
        <v>975.93221</v>
      </c>
      <c r="X132" s="2">
        <f t="shared" si="141"/>
        <v>-887.515936</v>
      </c>
      <c r="Y132" s="2">
        <f t="shared" si="142"/>
        <v>-913.187663</v>
      </c>
      <c r="Z132" s="2">
        <f t="shared" si="134"/>
        <v>1036.6915470000001</v>
      </c>
      <c r="AA132" s="2">
        <f t="shared" si="135"/>
        <v>1044.23921</v>
      </c>
      <c r="AC132">
        <f t="shared" si="143"/>
        <v>10.635799500000017</v>
      </c>
      <c r="AD132">
        <f t="shared" si="136"/>
        <v>16.455621499999925</v>
      </c>
      <c r="AH132">
        <f t="shared" si="137"/>
        <v>-27.649379350000117</v>
      </c>
      <c r="AI132">
        <f t="shared" si="138"/>
        <v>-27.705602050000152</v>
      </c>
      <c r="AJ132">
        <f t="shared" si="144"/>
        <v>-36.374605199999905</v>
      </c>
      <c r="AK132">
        <f t="shared" si="144"/>
        <v>-36.295196900000064</v>
      </c>
      <c r="AM132">
        <v>945</v>
      </c>
      <c r="AN132">
        <v>-1042.2</v>
      </c>
      <c r="AO132">
        <v>86.1</v>
      </c>
      <c r="AP132">
        <v>-851.5</v>
      </c>
      <c r="AQ132">
        <v>-16.1</v>
      </c>
      <c r="AS132">
        <v>-945</v>
      </c>
      <c r="AT132">
        <v>-83.4</v>
      </c>
      <c r="AU132">
        <v>1017.9</v>
      </c>
      <c r="AV132">
        <v>103.6</v>
      </c>
      <c r="AW132">
        <v>918.8</v>
      </c>
    </row>
    <row r="133" spans="1:49" ht="16.5">
      <c r="A133" s="1">
        <v>40581</v>
      </c>
      <c r="B133" s="13">
        <v>127.95136</v>
      </c>
      <c r="C133" s="13">
        <v>102.80898</v>
      </c>
      <c r="D133">
        <v>84.092618</v>
      </c>
      <c r="E133">
        <v>57.991635</v>
      </c>
      <c r="G133" s="13">
        <v>1974.4711</v>
      </c>
      <c r="H133" s="13">
        <v>1981.6398</v>
      </c>
      <c r="I133">
        <v>64.002739</v>
      </c>
      <c r="J133">
        <v>71.321923</v>
      </c>
      <c r="L133">
        <f t="shared" si="128"/>
        <v>127.95136</v>
      </c>
      <c r="M133">
        <f t="shared" si="129"/>
        <v>102.80898</v>
      </c>
      <c r="N133">
        <f t="shared" si="139"/>
        <v>84.092618</v>
      </c>
      <c r="O133">
        <f t="shared" si="140"/>
        <v>57.991635</v>
      </c>
      <c r="Q133">
        <f t="shared" si="130"/>
        <v>1974.4711</v>
      </c>
      <c r="R133">
        <f t="shared" si="131"/>
        <v>1981.6398</v>
      </c>
      <c r="S133">
        <f t="shared" si="132"/>
        <v>64.002739</v>
      </c>
      <c r="T133">
        <f t="shared" si="133"/>
        <v>71.321923</v>
      </c>
      <c r="V133" s="7">
        <v>973.07706</v>
      </c>
      <c r="X133" s="2">
        <f t="shared" si="141"/>
        <v>-888.984442</v>
      </c>
      <c r="Y133" s="2">
        <f t="shared" si="142"/>
        <v>-915.085425</v>
      </c>
      <c r="Z133" s="2">
        <f t="shared" si="134"/>
        <v>1037.0797989999999</v>
      </c>
      <c r="AA133" s="2">
        <f t="shared" si="135"/>
        <v>1044.398983</v>
      </c>
      <c r="AC133">
        <f t="shared" si="143"/>
        <v>12.318933500000012</v>
      </c>
      <c r="AD133">
        <f t="shared" si="136"/>
        <v>16.1816089999999</v>
      </c>
      <c r="AH133">
        <f t="shared" si="137"/>
        <v>-28.698794160000034</v>
      </c>
      <c r="AI133">
        <f t="shared" si="138"/>
        <v>-28.877983380000046</v>
      </c>
      <c r="AJ133">
        <f t="shared" si="144"/>
        <v>-35.92954510000004</v>
      </c>
      <c r="AK133">
        <f t="shared" si="144"/>
        <v>-36.00129079999988</v>
      </c>
      <c r="AM133">
        <v>945</v>
      </c>
      <c r="AN133">
        <v>-1042.5</v>
      </c>
      <c r="AO133">
        <v>86</v>
      </c>
      <c r="AP133">
        <v>-851.5</v>
      </c>
      <c r="AQ133">
        <v>-16.1</v>
      </c>
      <c r="AS133">
        <v>-945</v>
      </c>
      <c r="AT133">
        <v>-83.7</v>
      </c>
      <c r="AU133">
        <v>1017.8</v>
      </c>
      <c r="AV133">
        <v>103.2</v>
      </c>
      <c r="AW133">
        <v>919.1</v>
      </c>
    </row>
    <row r="134" spans="1:49" ht="16.5">
      <c r="A134" s="1">
        <v>40613</v>
      </c>
      <c r="B134" s="13">
        <v>124.47114</v>
      </c>
      <c r="C134" s="13">
        <v>101.89669</v>
      </c>
      <c r="D134">
        <v>74.306167</v>
      </c>
      <c r="E134">
        <v>50.877875</v>
      </c>
      <c r="G134" s="13">
        <v>1975.8981</v>
      </c>
      <c r="H134" s="13">
        <v>1981.2763</v>
      </c>
      <c r="I134">
        <v>72.994275</v>
      </c>
      <c r="J134">
        <v>78.500479</v>
      </c>
      <c r="L134">
        <f t="shared" si="128"/>
        <v>124.47114</v>
      </c>
      <c r="M134">
        <f t="shared" si="129"/>
        <v>101.89669</v>
      </c>
      <c r="N134">
        <f t="shared" si="139"/>
        <v>74.306167</v>
      </c>
      <c r="O134">
        <f t="shared" si="140"/>
        <v>50.877875</v>
      </c>
      <c r="Q134">
        <f t="shared" si="130"/>
        <v>1975.8981</v>
      </c>
      <c r="R134">
        <f t="shared" si="131"/>
        <v>1981.2763</v>
      </c>
      <c r="S134">
        <f t="shared" si="132"/>
        <v>72.994275</v>
      </c>
      <c r="T134">
        <f t="shared" si="133"/>
        <v>78.500479</v>
      </c>
      <c r="V134" s="7">
        <v>966.18001</v>
      </c>
      <c r="X134" s="2">
        <f t="shared" si="141"/>
        <v>-891.8738430000001</v>
      </c>
      <c r="Y134" s="2">
        <f t="shared" si="142"/>
        <v>-915.302135</v>
      </c>
      <c r="Z134" s="2">
        <f t="shared" si="134"/>
        <v>1039.174285</v>
      </c>
      <c r="AA134" s="2">
        <f t="shared" si="135"/>
        <v>1044.680489</v>
      </c>
      <c r="AC134">
        <f t="shared" si="143"/>
        <v>13.871989000000154</v>
      </c>
      <c r="AD134">
        <f t="shared" si="136"/>
        <v>14.993612999999787</v>
      </c>
      <c r="AH134">
        <f t="shared" si="137"/>
        <v>-28.00008834000016</v>
      </c>
      <c r="AI134">
        <f t="shared" si="138"/>
        <v>-28.15412239000011</v>
      </c>
      <c r="AJ134">
        <f t="shared" si="144"/>
        <v>-35.306296100000054</v>
      </c>
      <c r="AK134">
        <f t="shared" si="144"/>
        <v>-35.345016299999884</v>
      </c>
      <c r="AM134">
        <v>945</v>
      </c>
      <c r="AN134">
        <v>-1041.2</v>
      </c>
      <c r="AO134">
        <v>85.3</v>
      </c>
      <c r="AP134">
        <v>-852.7</v>
      </c>
      <c r="AQ134">
        <v>-15.2</v>
      </c>
      <c r="AS134">
        <v>-945</v>
      </c>
      <c r="AT134">
        <v>-82.4</v>
      </c>
      <c r="AU134">
        <v>1017.2</v>
      </c>
      <c r="AV134">
        <v>102</v>
      </c>
      <c r="AW134">
        <v>920</v>
      </c>
    </row>
    <row r="135" spans="1:49" ht="16.5">
      <c r="A135" s="1">
        <v>40644</v>
      </c>
      <c r="B135" s="13">
        <v>121.2687</v>
      </c>
      <c r="C135" s="13">
        <v>100.71825</v>
      </c>
      <c r="D135">
        <v>61.35421</v>
      </c>
      <c r="E135">
        <v>39.957516</v>
      </c>
      <c r="G135" s="13">
        <v>1976.5952</v>
      </c>
      <c r="H135" s="13">
        <v>1980.3478</v>
      </c>
      <c r="I135">
        <v>82.349724</v>
      </c>
      <c r="J135">
        <v>86.427433</v>
      </c>
      <c r="L135">
        <f t="shared" si="128"/>
        <v>121.2687</v>
      </c>
      <c r="M135">
        <f t="shared" si="129"/>
        <v>100.71825</v>
      </c>
      <c r="N135">
        <f t="shared" si="139"/>
        <v>61.35421</v>
      </c>
      <c r="O135">
        <f t="shared" si="140"/>
        <v>39.957516</v>
      </c>
      <c r="Q135">
        <f t="shared" si="130"/>
        <v>1976.5952</v>
      </c>
      <c r="R135">
        <f t="shared" si="131"/>
        <v>1980.3478</v>
      </c>
      <c r="S135">
        <f t="shared" si="132"/>
        <v>82.349724</v>
      </c>
      <c r="T135">
        <f t="shared" si="133"/>
        <v>86.427433</v>
      </c>
      <c r="V135" s="7">
        <v>957.76735</v>
      </c>
      <c r="X135" s="2">
        <f t="shared" si="141"/>
        <v>-896.41314</v>
      </c>
      <c r="Y135" s="2">
        <f t="shared" si="142"/>
        <v>-917.8098339999999</v>
      </c>
      <c r="Z135" s="2">
        <f t="shared" si="134"/>
        <v>1040.117074</v>
      </c>
      <c r="AA135" s="2">
        <f t="shared" si="135"/>
        <v>1044.194783</v>
      </c>
      <c r="AC135">
        <f t="shared" si="143"/>
        <v>17.395486999999942</v>
      </c>
      <c r="AD135">
        <f t="shared" si="136"/>
        <v>14.765071500000122</v>
      </c>
      <c r="AH135">
        <f t="shared" si="137"/>
        <v>-29.237669700000083</v>
      </c>
      <c r="AI135">
        <f t="shared" si="138"/>
        <v>-29.446849749999956</v>
      </c>
      <c r="AJ135">
        <f t="shared" si="144"/>
        <v>-35.082217199999945</v>
      </c>
      <c r="AK135">
        <f t="shared" si="144"/>
        <v>-34.87343880000003</v>
      </c>
      <c r="AM135">
        <v>945</v>
      </c>
      <c r="AN135">
        <v>-1040.3</v>
      </c>
      <c r="AO135">
        <v>84.5</v>
      </c>
      <c r="AP135">
        <v>-853.9</v>
      </c>
      <c r="AQ135">
        <v>-14.4</v>
      </c>
      <c r="AS135">
        <v>-945</v>
      </c>
      <c r="AT135">
        <v>-81.2</v>
      </c>
      <c r="AU135">
        <v>1016.1</v>
      </c>
      <c r="AV135">
        <v>100.3</v>
      </c>
      <c r="AW135">
        <v>920.8</v>
      </c>
    </row>
    <row r="136" spans="1:49" ht="16.5">
      <c r="A136" s="1">
        <v>40668</v>
      </c>
      <c r="B136" s="13">
        <v>119.24463</v>
      </c>
      <c r="C136" s="13">
        <v>100.17616</v>
      </c>
      <c r="D136">
        <v>52.33749</v>
      </c>
      <c r="E136">
        <v>32.811647</v>
      </c>
      <c r="G136" s="13">
        <v>1977.3752</v>
      </c>
      <c r="H136" s="13">
        <v>1980.1189</v>
      </c>
      <c r="I136">
        <v>90.023902</v>
      </c>
      <c r="J136">
        <v>92.921654</v>
      </c>
      <c r="L136">
        <f t="shared" si="128"/>
        <v>119.24463</v>
      </c>
      <c r="M136">
        <f t="shared" si="129"/>
        <v>100.17616</v>
      </c>
      <c r="N136">
        <f t="shared" si="139"/>
        <v>52.33749</v>
      </c>
      <c r="O136">
        <f t="shared" si="140"/>
        <v>32.811647</v>
      </c>
      <c r="Q136">
        <f t="shared" si="130"/>
        <v>1977.3752</v>
      </c>
      <c r="R136">
        <f t="shared" si="131"/>
        <v>1980.1189</v>
      </c>
      <c r="S136">
        <f t="shared" si="132"/>
        <v>90.023902</v>
      </c>
      <c r="T136">
        <f t="shared" si="133"/>
        <v>92.921654</v>
      </c>
      <c r="V136" s="7">
        <v>951.62981</v>
      </c>
      <c r="X136" s="2">
        <f t="shared" si="141"/>
        <v>-899.29232</v>
      </c>
      <c r="Y136" s="2">
        <f t="shared" si="142"/>
        <v>-918.818163</v>
      </c>
      <c r="Z136" s="2">
        <f t="shared" si="134"/>
        <v>1041.653712</v>
      </c>
      <c r="AA136" s="2">
        <f t="shared" si="135"/>
        <v>1044.5514640000001</v>
      </c>
      <c r="AC136">
        <f t="shared" si="143"/>
        <v>19.33924150000001</v>
      </c>
      <c r="AD136">
        <f t="shared" si="136"/>
        <v>13.818411999999771</v>
      </c>
      <c r="AH136">
        <f t="shared" si="137"/>
        <v>-30.030033530000082</v>
      </c>
      <c r="AI136">
        <f t="shared" si="138"/>
        <v>-29.89628396000012</v>
      </c>
      <c r="AJ136">
        <f t="shared" si="144"/>
        <v>-34.34975919999988</v>
      </c>
      <c r="AK136">
        <f t="shared" si="144"/>
        <v>-34.28076189999979</v>
      </c>
      <c r="AM136">
        <v>945</v>
      </c>
      <c r="AN136">
        <v>-1039.1</v>
      </c>
      <c r="AO136">
        <v>83.6</v>
      </c>
      <c r="AP136">
        <v>-854.4</v>
      </c>
      <c r="AQ136">
        <v>-13.7</v>
      </c>
      <c r="AS136">
        <v>-945</v>
      </c>
      <c r="AT136">
        <v>-80.4</v>
      </c>
      <c r="AU136">
        <v>1015.8</v>
      </c>
      <c r="AV136">
        <v>100.1</v>
      </c>
      <c r="AW136">
        <v>921.2</v>
      </c>
    </row>
    <row r="137" spans="1:51" ht="16.5">
      <c r="A137" s="1">
        <v>40670</v>
      </c>
      <c r="B137" s="13">
        <v>117.77909</v>
      </c>
      <c r="C137" s="13">
        <v>99.64435</v>
      </c>
      <c r="D137">
        <v>50.771074</v>
      </c>
      <c r="E137">
        <v>31.95618</v>
      </c>
      <c r="G137" s="13">
        <v>1978.0413</v>
      </c>
      <c r="H137" s="13">
        <v>1979.886</v>
      </c>
      <c r="I137">
        <v>92.164434</v>
      </c>
      <c r="J137">
        <v>94.180583</v>
      </c>
      <c r="L137">
        <f t="shared" si="128"/>
        <v>117.77909</v>
      </c>
      <c r="M137">
        <f t="shared" si="129"/>
        <v>99.64435</v>
      </c>
      <c r="N137">
        <f t="shared" si="139"/>
        <v>50.771074</v>
      </c>
      <c r="O137">
        <f t="shared" si="140"/>
        <v>31.95618</v>
      </c>
      <c r="Q137">
        <f t="shared" si="130"/>
        <v>1978.0413</v>
      </c>
      <c r="R137">
        <f t="shared" si="131"/>
        <v>1979.886</v>
      </c>
      <c r="S137">
        <f t="shared" si="132"/>
        <v>92.164434</v>
      </c>
      <c r="T137">
        <f t="shared" si="133"/>
        <v>94.180583</v>
      </c>
      <c r="V137" s="7">
        <v>951.1701</v>
      </c>
      <c r="X137" s="2">
        <f t="shared" si="141"/>
        <v>-900.399026</v>
      </c>
      <c r="Y137" s="2">
        <f t="shared" si="142"/>
        <v>-919.21392</v>
      </c>
      <c r="Z137" s="2">
        <f t="shared" si="134"/>
        <v>1043.334534</v>
      </c>
      <c r="AA137" s="2">
        <f t="shared" si="135"/>
        <v>1045.3506830000001</v>
      </c>
      <c r="AC137">
        <f t="shared" si="143"/>
        <v>20.09047300000014</v>
      </c>
      <c r="AD137">
        <f t="shared" si="136"/>
        <v>12.57839149999987</v>
      </c>
      <c r="AH137">
        <f t="shared" si="137"/>
        <v>-29.625767790000168</v>
      </c>
      <c r="AI137">
        <f t="shared" si="138"/>
        <v>-29.7437448500001</v>
      </c>
      <c r="AJ137">
        <f t="shared" si="144"/>
        <v>-33.3556863</v>
      </c>
      <c r="AK137">
        <f t="shared" si="144"/>
        <v>-33.24142299999983</v>
      </c>
      <c r="AM137">
        <v>945</v>
      </c>
      <c r="AN137">
        <v>-1038.8</v>
      </c>
      <c r="AO137">
        <v>83.3</v>
      </c>
      <c r="AP137">
        <v>-855.1</v>
      </c>
      <c r="AQ137">
        <v>-13.4</v>
      </c>
      <c r="AS137">
        <v>-945</v>
      </c>
      <c r="AT137">
        <v>-79.7</v>
      </c>
      <c r="AU137">
        <v>1015.1</v>
      </c>
      <c r="AV137">
        <v>99.4</v>
      </c>
      <c r="AW137">
        <v>921.6</v>
      </c>
      <c r="AY137" t="s">
        <v>52</v>
      </c>
    </row>
    <row r="138" spans="1:51" ht="16.5">
      <c r="A138" s="1">
        <v>40680</v>
      </c>
      <c r="B138" s="13"/>
      <c r="C138" s="13"/>
      <c r="G138" s="13"/>
      <c r="H138" s="13"/>
      <c r="V138" s="7">
        <v>949.03685</v>
      </c>
      <c r="X138" s="2"/>
      <c r="Y138" s="2"/>
      <c r="Z138" s="2"/>
      <c r="AA138" s="2"/>
      <c r="AM138">
        <v>945</v>
      </c>
      <c r="AN138">
        <v>-1034.8</v>
      </c>
      <c r="AO138">
        <v>78.7</v>
      </c>
      <c r="AP138">
        <v>-858.9</v>
      </c>
      <c r="AQ138">
        <v>-9.2</v>
      </c>
      <c r="AS138">
        <v>-945</v>
      </c>
      <c r="AT138">
        <v>-75.8</v>
      </c>
      <c r="AU138">
        <v>1010.4</v>
      </c>
      <c r="AV138">
        <v>95.4</v>
      </c>
      <c r="AW138">
        <v>926.2</v>
      </c>
      <c r="AY138" t="s">
        <v>13</v>
      </c>
    </row>
    <row r="139" spans="1:51" ht="16.5">
      <c r="A139" s="1">
        <v>40685</v>
      </c>
      <c r="B139" s="13">
        <v>95.537354</v>
      </c>
      <c r="C139" s="13">
        <v>85.379241</v>
      </c>
      <c r="D139">
        <v>24.95483</v>
      </c>
      <c r="E139">
        <v>15.237914</v>
      </c>
      <c r="G139" s="13">
        <v>1987.5061</v>
      </c>
      <c r="H139" s="13">
        <v>1979.0008</v>
      </c>
      <c r="I139">
        <v>104.02959</v>
      </c>
      <c r="J139">
        <v>95.115965</v>
      </c>
      <c r="L139">
        <f aca="true" t="shared" si="145" ref="L139:M142">B139</f>
        <v>95.537354</v>
      </c>
      <c r="M139">
        <f t="shared" si="145"/>
        <v>85.379241</v>
      </c>
      <c r="N139">
        <f>D139+(AM139-945)</f>
        <v>24.95483</v>
      </c>
      <c r="O139">
        <f>E139+(AM139-945)</f>
        <v>15.237914</v>
      </c>
      <c r="Q139">
        <f aca="true" t="shared" si="146" ref="Q139:R142">G139</f>
        <v>1987.5061</v>
      </c>
      <c r="R139">
        <f t="shared" si="146"/>
        <v>1979.0008</v>
      </c>
      <c r="S139">
        <f>I139+(AS139+945)</f>
        <v>104.02959</v>
      </c>
      <c r="T139">
        <f>J139+(AS139+945)</f>
        <v>95.115965</v>
      </c>
      <c r="V139" s="7">
        <v>948.08518</v>
      </c>
      <c r="X139" s="2">
        <f>N139-V139</f>
        <v>-923.13035</v>
      </c>
      <c r="Y139" s="2">
        <f>O139-V139</f>
        <v>-932.847266</v>
      </c>
      <c r="Z139" s="2">
        <f>S139+V139</f>
        <v>1052.1147700000001</v>
      </c>
      <c r="AA139" s="2">
        <f>T139+V139</f>
        <v>1043.201145</v>
      </c>
      <c r="AC139">
        <f>1.56-((X139+Y139)/2-(-891.276))</f>
        <v>38.27280800000011</v>
      </c>
      <c r="AD139">
        <f>11.16-((Z139+AA139)/2-1045.761)</f>
        <v>9.263042499999901</v>
      </c>
      <c r="AH139">
        <f aca="true" t="shared" si="147" ref="AH139:AI142">(X139-1024*0.0545)-(L139-1024+7.5)*1.031</f>
        <v>-29.4258619740001</v>
      </c>
      <c r="AI139">
        <f t="shared" si="147"/>
        <v>-28.66976347100001</v>
      </c>
      <c r="AJ139">
        <f aca="true" t="shared" si="148" ref="AJ139:AK142">(Z139-2048*0.0545)-(Q139-1024-15.56)*1.031+2.5</f>
        <v>-34.33365909999986</v>
      </c>
      <c r="AK139">
        <f t="shared" si="148"/>
        <v>-34.47831980000001</v>
      </c>
      <c r="AM139">
        <v>945</v>
      </c>
      <c r="AN139">
        <v>-1034.2</v>
      </c>
      <c r="AO139">
        <v>78</v>
      </c>
      <c r="AP139">
        <v>-859.1</v>
      </c>
      <c r="AQ139">
        <v>-8.2</v>
      </c>
      <c r="AS139">
        <v>-945</v>
      </c>
      <c r="AT139">
        <v>-75.2</v>
      </c>
      <c r="AU139">
        <v>1009.8</v>
      </c>
      <c r="AV139">
        <v>95.2</v>
      </c>
      <c r="AW139">
        <v>926.9</v>
      </c>
      <c r="AY139" t="s">
        <v>14</v>
      </c>
    </row>
    <row r="140" spans="1:51" ht="16.5">
      <c r="A140" s="1">
        <v>40689</v>
      </c>
      <c r="B140" s="13">
        <v>92.756224</v>
      </c>
      <c r="C140" s="13">
        <v>83.441323</v>
      </c>
      <c r="D140">
        <v>22.078612</v>
      </c>
      <c r="E140">
        <v>12.712416</v>
      </c>
      <c r="G140" s="13">
        <v>1988.1508</v>
      </c>
      <c r="H140" s="13">
        <v>1978.8081</v>
      </c>
      <c r="I140">
        <v>105.61384</v>
      </c>
      <c r="J140">
        <v>95.933146</v>
      </c>
      <c r="L140">
        <f t="shared" si="145"/>
        <v>92.756224</v>
      </c>
      <c r="M140">
        <f t="shared" si="145"/>
        <v>83.441323</v>
      </c>
      <c r="N140">
        <f>D140+(AM140-945)</f>
        <v>22.078612</v>
      </c>
      <c r="O140">
        <f>E140+(AM140-945)</f>
        <v>12.712416</v>
      </c>
      <c r="Q140">
        <f t="shared" si="146"/>
        <v>1988.1508</v>
      </c>
      <c r="R140">
        <f t="shared" si="146"/>
        <v>1978.8081</v>
      </c>
      <c r="S140">
        <f>I140+(AS140+945)</f>
        <v>105.61384</v>
      </c>
      <c r="T140">
        <f>J140+(AS140+945)</f>
        <v>95.933146</v>
      </c>
      <c r="V140" s="7">
        <v>947.38473</v>
      </c>
      <c r="X140" s="2">
        <f>N140-V140</f>
        <v>-925.306118</v>
      </c>
      <c r="Y140" s="2">
        <f>O140-V140</f>
        <v>-934.672314</v>
      </c>
      <c r="Z140" s="2">
        <f>S140+V140</f>
        <v>1052.99857</v>
      </c>
      <c r="AA140" s="2">
        <f>T140+V140</f>
        <v>1043.317876</v>
      </c>
      <c r="AC140">
        <f>1.56-((X140+Y140)/2-(-891.276))</f>
        <v>40.27321599999999</v>
      </c>
      <c r="AD140">
        <f>11.16-((Z140+AA140)/2-1045.761)</f>
        <v>8.76277700000006</v>
      </c>
      <c r="AH140">
        <f t="shared" si="147"/>
        <v>-28.734284944000024</v>
      </c>
      <c r="AI140">
        <f t="shared" si="147"/>
        <v>-28.496818013000166</v>
      </c>
      <c r="AJ140">
        <f t="shared" si="148"/>
        <v>-34.11454479999986</v>
      </c>
      <c r="AK140">
        <f t="shared" si="148"/>
        <v>-34.16291509999985</v>
      </c>
      <c r="AM140">
        <v>945</v>
      </c>
      <c r="AN140">
        <v>-1034.2</v>
      </c>
      <c r="AO140">
        <v>77.8</v>
      </c>
      <c r="AP140">
        <v>-859.6</v>
      </c>
      <c r="AQ140">
        <v>-7.6</v>
      </c>
      <c r="AS140">
        <v>-945</v>
      </c>
      <c r="AT140">
        <v>-74.9</v>
      </c>
      <c r="AU140">
        <v>1009.4</v>
      </c>
      <c r="AV140">
        <v>94.6</v>
      </c>
      <c r="AW140">
        <v>927.6</v>
      </c>
      <c r="AY140" t="s">
        <v>102</v>
      </c>
    </row>
    <row r="141" spans="1:51" ht="16.5">
      <c r="A141" s="1">
        <v>40695</v>
      </c>
      <c r="B141" s="13">
        <v>88.453694</v>
      </c>
      <c r="C141" s="13">
        <v>80.585211</v>
      </c>
      <c r="D141">
        <v>16.060952</v>
      </c>
      <c r="E141">
        <v>8.6211929</v>
      </c>
      <c r="G141" s="13">
        <v>1990.0507</v>
      </c>
      <c r="H141" s="13">
        <v>1978.9214</v>
      </c>
      <c r="I141">
        <v>109.21773</v>
      </c>
      <c r="J141">
        <v>97.661113</v>
      </c>
      <c r="L141">
        <f t="shared" si="145"/>
        <v>88.453694</v>
      </c>
      <c r="M141">
        <f t="shared" si="145"/>
        <v>80.585211</v>
      </c>
      <c r="N141">
        <f>D141+(AM141-945)</f>
        <v>16.060952</v>
      </c>
      <c r="O141">
        <f>E141+(AM141-945)</f>
        <v>8.6211929</v>
      </c>
      <c r="Q141">
        <f t="shared" si="146"/>
        <v>1990.0507</v>
      </c>
      <c r="R141">
        <f t="shared" si="146"/>
        <v>1978.9214</v>
      </c>
      <c r="S141">
        <f>I141+(AS141+945)</f>
        <v>109.21773</v>
      </c>
      <c r="T141">
        <f>J141+(AS141+945)</f>
        <v>97.661113</v>
      </c>
      <c r="V141" s="7">
        <v>946.4421</v>
      </c>
      <c r="X141" s="2">
        <f>N141-V141</f>
        <v>-930.3811479999999</v>
      </c>
      <c r="Y141" s="2">
        <f>O141-V141</f>
        <v>-937.8209071</v>
      </c>
      <c r="Z141" s="2">
        <f>S141+V141</f>
        <v>1055.65983</v>
      </c>
      <c r="AA141" s="2">
        <f>T141+V141</f>
        <v>1044.1032129999999</v>
      </c>
      <c r="AC141">
        <f>1.56-((X141+Y141)/2-(-891.276))</f>
        <v>44.385027550000075</v>
      </c>
      <c r="AD141">
        <f>11.16-((Z141+AA141)/2-1045.761)</f>
        <v>7.039478500000005</v>
      </c>
      <c r="AH141">
        <f t="shared" si="147"/>
        <v>-29.373406514000067</v>
      </c>
      <c r="AI141">
        <f t="shared" si="147"/>
        <v>-28.70075964099999</v>
      </c>
      <c r="AJ141">
        <f t="shared" si="148"/>
        <v>-33.41208169999993</v>
      </c>
      <c r="AK141">
        <f t="shared" si="148"/>
        <v>-33.49439040000004</v>
      </c>
      <c r="AM141">
        <v>945</v>
      </c>
      <c r="AN141">
        <v>-1033.2</v>
      </c>
      <c r="AO141">
        <v>76.8</v>
      </c>
      <c r="AP141">
        <v>-860.4</v>
      </c>
      <c r="AQ141">
        <v>-6.5</v>
      </c>
      <c r="AS141">
        <v>-945</v>
      </c>
      <c r="AT141">
        <v>-74.4</v>
      </c>
      <c r="AU141">
        <v>1008.3</v>
      </c>
      <c r="AV141">
        <v>94.2</v>
      </c>
      <c r="AW141">
        <v>928.2</v>
      </c>
      <c r="AY141" t="s">
        <v>52</v>
      </c>
    </row>
    <row r="142" spans="1:51" ht="16.5">
      <c r="A142" s="1">
        <v>40703</v>
      </c>
      <c r="B142" s="13">
        <v>87.177607</v>
      </c>
      <c r="C142" s="13">
        <v>80.030324</v>
      </c>
      <c r="D142">
        <v>14.101162</v>
      </c>
      <c r="E142">
        <v>7.1229944</v>
      </c>
      <c r="G142" s="13">
        <v>1990.1697</v>
      </c>
      <c r="H142" s="13">
        <v>1978.8615</v>
      </c>
      <c r="I142">
        <v>110.47739</v>
      </c>
      <c r="J142">
        <v>98.391456</v>
      </c>
      <c r="L142">
        <f t="shared" si="145"/>
        <v>87.177607</v>
      </c>
      <c r="M142">
        <f t="shared" si="145"/>
        <v>80.030324</v>
      </c>
      <c r="N142">
        <f>D142+(AM142-945)</f>
        <v>14.101162</v>
      </c>
      <c r="O142">
        <f>E142+(AM142-945)</f>
        <v>7.1229944</v>
      </c>
      <c r="Q142">
        <f t="shared" si="146"/>
        <v>1990.1697</v>
      </c>
      <c r="R142">
        <f t="shared" si="146"/>
        <v>1978.8615</v>
      </c>
      <c r="S142">
        <f>I142+(AS142+945)</f>
        <v>110.47739</v>
      </c>
      <c r="T142">
        <f>J142+(AS142+945)</f>
        <v>98.391456</v>
      </c>
      <c r="V142" s="7">
        <v>945.39979</v>
      </c>
      <c r="X142" s="2">
        <f>N142-V142</f>
        <v>-931.298628</v>
      </c>
      <c r="Y142" s="2">
        <f>O142-V142</f>
        <v>-938.2767956</v>
      </c>
      <c r="Z142" s="2">
        <f>S142+V142</f>
        <v>1055.87718</v>
      </c>
      <c r="AA142" s="2">
        <f>T142+V142</f>
        <v>1043.791246</v>
      </c>
      <c r="AC142">
        <f>1.56-((X142+Y142)/2-(-891.276))</f>
        <v>45.07171180000006</v>
      </c>
      <c r="AD142">
        <f>11.16-((Z142+AA142)/2-1045.761)</f>
        <v>7.086786999999877</v>
      </c>
      <c r="AH142">
        <f t="shared" si="147"/>
        <v>-28.9752408170001</v>
      </c>
      <c r="AI142">
        <f t="shared" si="147"/>
        <v>-28.584559644000024</v>
      </c>
      <c r="AJ142">
        <f t="shared" si="148"/>
        <v>-33.31742069999996</v>
      </c>
      <c r="AK142">
        <f t="shared" si="148"/>
        <v>-33.74460049999993</v>
      </c>
      <c r="AM142">
        <v>945</v>
      </c>
      <c r="AN142">
        <v>-1032.8</v>
      </c>
      <c r="AO142">
        <v>76.3</v>
      </c>
      <c r="AP142">
        <v>-860.6</v>
      </c>
      <c r="AQ142">
        <v>-6.4</v>
      </c>
      <c r="AS142">
        <v>-945</v>
      </c>
      <c r="AT142">
        <v>-74</v>
      </c>
      <c r="AU142">
        <v>1007.8</v>
      </c>
      <c r="AV142">
        <v>94</v>
      </c>
      <c r="AW142">
        <v>928.7</v>
      </c>
      <c r="AY142" t="s">
        <v>103</v>
      </c>
    </row>
    <row r="143" spans="1:27" ht="16.5">
      <c r="A143" s="1">
        <v>40710</v>
      </c>
      <c r="B143" s="13"/>
      <c r="C143" s="13"/>
      <c r="G143" s="13"/>
      <c r="H143" s="13"/>
      <c r="V143" s="7">
        <v>944.70057</v>
      </c>
      <c r="X143" s="2"/>
      <c r="Y143" s="2"/>
      <c r="Z143" s="2"/>
      <c r="AA143" s="2"/>
    </row>
    <row r="144" spans="1:51" ht="16.5">
      <c r="A144" s="1">
        <v>40719</v>
      </c>
      <c r="B144" s="13">
        <v>86.124866</v>
      </c>
      <c r="C144" s="13">
        <v>79.408801</v>
      </c>
      <c r="D144">
        <v>11.382865</v>
      </c>
      <c r="E144">
        <v>4.6651659</v>
      </c>
      <c r="G144" s="13">
        <v>1990.9168</v>
      </c>
      <c r="H144" s="13">
        <v>1978.919</v>
      </c>
      <c r="I144">
        <v>112.16731</v>
      </c>
      <c r="J144">
        <v>100.0228</v>
      </c>
      <c r="L144">
        <f>B144</f>
        <v>86.124866</v>
      </c>
      <c r="M144">
        <f>C144</f>
        <v>79.408801</v>
      </c>
      <c r="N144">
        <f>D144+(AM144-945)</f>
        <v>11.382865</v>
      </c>
      <c r="O144">
        <f>E144+(AM144-945)</f>
        <v>4.6651659</v>
      </c>
      <c r="Q144">
        <f>G144</f>
        <v>1990.9168</v>
      </c>
      <c r="R144">
        <f>H144</f>
        <v>1978.919</v>
      </c>
      <c r="S144">
        <f>I144+(AS144+945)</f>
        <v>112.16731</v>
      </c>
      <c r="T144">
        <f>J144+(AS144+945)</f>
        <v>100.0228</v>
      </c>
      <c r="V144" s="7">
        <v>944.10727</v>
      </c>
      <c r="X144" s="2">
        <f>N144-V144</f>
        <v>-932.7244049999999</v>
      </c>
      <c r="Y144" s="2">
        <f>O144-V144</f>
        <v>-939.4421040999999</v>
      </c>
      <c r="Z144" s="2">
        <f>S144+V144</f>
        <v>1056.27458</v>
      </c>
      <c r="AA144" s="2">
        <f>T144+V144</f>
        <v>1044.13007</v>
      </c>
      <c r="AC144">
        <f>1.56-((X144+Y144)/2-(-891.276))</f>
        <v>46.36725455000004</v>
      </c>
      <c r="AD144">
        <f>11.16-((Z144+AA144)/2-1045.761)</f>
        <v>6.718674999999994</v>
      </c>
      <c r="AH144">
        <f>(X144-1024*0.0545)-(L144-1024+7.5)*1.031</f>
        <v>-29.31564184599995</v>
      </c>
      <c r="AI144">
        <f>(Y144-1024*0.0545)-(M144-1024+7.5)*1.031</f>
        <v>-29.109077931</v>
      </c>
      <c r="AJ144">
        <f>(Z144-2048*0.0545)-(Q144-1024-15.56)*1.031+2.5</f>
        <v>-33.69028079999987</v>
      </c>
      <c r="AK144">
        <f>(AA144-2048*0.0545)-(R144-1024-15.56)*1.031+2.5</f>
        <v>-33.46505900000011</v>
      </c>
      <c r="AM144">
        <v>945</v>
      </c>
      <c r="AN144">
        <v>-1032.6</v>
      </c>
      <c r="AO144">
        <v>75.9</v>
      </c>
      <c r="AP144">
        <v>-860.8</v>
      </c>
      <c r="AQ144">
        <v>-6.2</v>
      </c>
      <c r="AS144">
        <v>-945</v>
      </c>
      <c r="AT144">
        <v>-73.3</v>
      </c>
      <c r="AU144">
        <v>1007.8</v>
      </c>
      <c r="AV144">
        <v>93.6</v>
      </c>
      <c r="AW144">
        <v>928.8</v>
      </c>
      <c r="AY144" t="s">
        <v>104</v>
      </c>
    </row>
    <row r="145" spans="1:51" ht="16.5">
      <c r="A145" s="1">
        <v>40726</v>
      </c>
      <c r="B145" s="13">
        <v>86.682612</v>
      </c>
      <c r="C145" s="13">
        <v>79.582009</v>
      </c>
      <c r="D145">
        <v>11.900749</v>
      </c>
      <c r="E145">
        <v>5.0099694</v>
      </c>
      <c r="G145" s="13">
        <v>1990.9635</v>
      </c>
      <c r="H145" s="13">
        <v>1978.8216</v>
      </c>
      <c r="I145">
        <v>112.86372</v>
      </c>
      <c r="J145">
        <v>99.965951</v>
      </c>
      <c r="L145">
        <f>B145</f>
        <v>86.682612</v>
      </c>
      <c r="M145">
        <f>C145</f>
        <v>79.582009</v>
      </c>
      <c r="N145">
        <f>D145+(AM145-945)</f>
        <v>11.900749</v>
      </c>
      <c r="O145">
        <f>E145+(AM145-945)</f>
        <v>5.0099694</v>
      </c>
      <c r="Q145">
        <f>G145</f>
        <v>1990.9635</v>
      </c>
      <c r="R145">
        <f>H145</f>
        <v>1978.8216</v>
      </c>
      <c r="S145">
        <f>I145+(AS145+945)</f>
        <v>112.86372</v>
      </c>
      <c r="T145">
        <f>J145+(AS145+945)</f>
        <v>99.965951</v>
      </c>
      <c r="V145" s="7">
        <v>943.89039</v>
      </c>
      <c r="X145" s="2">
        <f>N145-V145</f>
        <v>-931.989641</v>
      </c>
      <c r="Y145" s="2">
        <f>O145-V145</f>
        <v>-938.8804206</v>
      </c>
      <c r="Z145" s="2">
        <f>S145+V145</f>
        <v>1056.75411</v>
      </c>
      <c r="AA145" s="2">
        <f>T145+V145</f>
        <v>1043.856341</v>
      </c>
      <c r="AC145">
        <f>1.56-((X145+Y145)/2-(-891.276))</f>
        <v>45.7190308000001</v>
      </c>
      <c r="AD145">
        <f>11.16-((Z145+AA145)/2-1045.761)</f>
        <v>6.6157744999999615</v>
      </c>
      <c r="AH145">
        <f>(X145-1024*0.0545)-(L145-1024+7.5)*1.031</f>
        <v>-29.15591397200012</v>
      </c>
      <c r="AI145">
        <f>(Y145-1024*0.0545)-(M145-1024+7.5)*1.031</f>
        <v>-28.725971878999985</v>
      </c>
      <c r="AJ145">
        <f>(Z145-2048*0.0545)-(Q145-1024-15.56)*1.031+2.5</f>
        <v>-33.25889849999999</v>
      </c>
      <c r="AK145">
        <f>(AA145-2048*0.0545)-(R145-1024-15.56)*1.031+2.5</f>
        <v>-33.638368600000035</v>
      </c>
      <c r="AM145">
        <v>945</v>
      </c>
      <c r="AN145">
        <v>-1032.6</v>
      </c>
      <c r="AO145">
        <v>76.4</v>
      </c>
      <c r="AP145">
        <v>-860.6</v>
      </c>
      <c r="AQ145">
        <v>-6.3</v>
      </c>
      <c r="AS145">
        <v>-945</v>
      </c>
      <c r="AT145">
        <v>-73.7</v>
      </c>
      <c r="AU145">
        <v>1007.9</v>
      </c>
      <c r="AV145">
        <v>93.3</v>
      </c>
      <c r="AW145">
        <v>928.9</v>
      </c>
      <c r="AY145" t="s">
        <v>105</v>
      </c>
    </row>
    <row r="146" spans="1:27" ht="16.5">
      <c r="A146" s="1">
        <v>40733</v>
      </c>
      <c r="B146" s="13"/>
      <c r="C146" s="13"/>
      <c r="G146" s="13"/>
      <c r="H146" s="13"/>
      <c r="V146" s="7">
        <v>943.8905</v>
      </c>
      <c r="X146" s="2"/>
      <c r="Y146" s="2"/>
      <c r="Z146" s="2"/>
      <c r="AA146" s="2"/>
    </row>
    <row r="147" spans="1:51" ht="16.5">
      <c r="A147" s="1">
        <v>40740</v>
      </c>
      <c r="B147" s="13">
        <v>90.810029</v>
      </c>
      <c r="C147" s="13">
        <v>81.57174</v>
      </c>
      <c r="D147">
        <v>16.842377</v>
      </c>
      <c r="E147">
        <v>7.0365746</v>
      </c>
      <c r="G147" s="13">
        <v>1989.357</v>
      </c>
      <c r="H147" s="13">
        <v>1979.4103</v>
      </c>
      <c r="I147">
        <v>110.02716</v>
      </c>
      <c r="J147">
        <v>99.838599</v>
      </c>
      <c r="L147">
        <f aca="true" t="shared" si="149" ref="L147:M149">B147</f>
        <v>90.810029</v>
      </c>
      <c r="M147">
        <f t="shared" si="149"/>
        <v>81.57174</v>
      </c>
      <c r="N147">
        <f>D147+(AM147-945)</f>
        <v>16.842377</v>
      </c>
      <c r="O147">
        <f>E147+(AM147-945)</f>
        <v>7.0365746</v>
      </c>
      <c r="Q147">
        <f aca="true" t="shared" si="150" ref="Q147:R149">G147</f>
        <v>1989.357</v>
      </c>
      <c r="R147">
        <f t="shared" si="150"/>
        <v>1979.4103</v>
      </c>
      <c r="S147">
        <f>I147+(AS147+945)</f>
        <v>110.02716</v>
      </c>
      <c r="T147">
        <f>J147+(AS147+945)</f>
        <v>99.838599</v>
      </c>
      <c r="V147" s="7">
        <v>944.10761</v>
      </c>
      <c r="X147" s="2">
        <f>N147-V147</f>
        <v>-927.2652330000001</v>
      </c>
      <c r="Y147" s="2">
        <f>O147-V147</f>
        <v>-937.0710354</v>
      </c>
      <c r="Z147" s="2">
        <f>S147+V147</f>
        <v>1054.1347700000001</v>
      </c>
      <c r="AA147" s="2">
        <f>T147+V147</f>
        <v>1043.946209</v>
      </c>
      <c r="AC147">
        <f>1.56-((X147+Y147)/2-(-891.276))</f>
        <v>42.4521342000001</v>
      </c>
      <c r="AD147">
        <f>11.16-((Z147+AA147)/2-1045.761)</f>
        <v>7.880510499999819</v>
      </c>
      <c r="AH147">
        <f aca="true" t="shared" si="151" ref="AH147:AI149">(X147-1024*0.0545)-(L147-1024+7.5)*1.031</f>
        <v>-28.68687289900015</v>
      </c>
      <c r="AI147">
        <f t="shared" si="151"/>
        <v>-28.96799934000012</v>
      </c>
      <c r="AJ147">
        <f aca="true" t="shared" si="152" ref="AJ147:AK149">(Z147-2048*0.0545)-(Q147-1024-15.56)*1.031+2.5</f>
        <v>-34.2219369999998</v>
      </c>
      <c r="AK147">
        <f t="shared" si="152"/>
        <v>-34.155450299999984</v>
      </c>
      <c r="AM147">
        <v>945</v>
      </c>
      <c r="AN147">
        <v>-1034</v>
      </c>
      <c r="AO147">
        <v>77.3</v>
      </c>
      <c r="AP147">
        <v>-858.9</v>
      </c>
      <c r="AQ147">
        <v>-7.2</v>
      </c>
      <c r="AS147">
        <v>-945</v>
      </c>
      <c r="AT147">
        <v>-75</v>
      </c>
      <c r="AU147">
        <v>1009.1</v>
      </c>
      <c r="AV147">
        <v>95.4</v>
      </c>
      <c r="AW147">
        <v>928</v>
      </c>
      <c r="AY147" t="s">
        <v>52</v>
      </c>
    </row>
    <row r="148" spans="1:51" ht="16.5">
      <c r="A148" s="1">
        <v>40746</v>
      </c>
      <c r="B148" s="13">
        <v>93.970243</v>
      </c>
      <c r="C148" s="13">
        <v>82.258277</v>
      </c>
      <c r="D148">
        <v>20.812999</v>
      </c>
      <c r="E148">
        <v>8.7810607</v>
      </c>
      <c r="G148" s="13">
        <v>1987.824</v>
      </c>
      <c r="H148" s="13">
        <v>1979.3236</v>
      </c>
      <c r="I148">
        <v>108.24018</v>
      </c>
      <c r="J148">
        <v>99.40748</v>
      </c>
      <c r="L148">
        <f t="shared" si="149"/>
        <v>93.970243</v>
      </c>
      <c r="M148">
        <f t="shared" si="149"/>
        <v>82.258277</v>
      </c>
      <c r="N148">
        <f>D148+(AM148-945)</f>
        <v>20.812999</v>
      </c>
      <c r="O148">
        <f>E148+(AM148-945)</f>
        <v>8.7810607</v>
      </c>
      <c r="Q148">
        <f t="shared" si="150"/>
        <v>1987.824</v>
      </c>
      <c r="R148">
        <f t="shared" si="150"/>
        <v>1979.3236</v>
      </c>
      <c r="S148">
        <f>I148+(AS148+945)</f>
        <v>108.24018</v>
      </c>
      <c r="T148">
        <f>J148+(AS148+945)</f>
        <v>99.40748</v>
      </c>
      <c r="V148" s="7">
        <v>944.46454</v>
      </c>
      <c r="X148" s="2">
        <f>N148-V148</f>
        <v>-923.6515410000001</v>
      </c>
      <c r="Y148" s="2">
        <f>O148-V148</f>
        <v>-935.6834793</v>
      </c>
      <c r="Z148" s="2">
        <f>S148+V148</f>
        <v>1052.70472</v>
      </c>
      <c r="AA148" s="2">
        <f>T148+V148</f>
        <v>1043.87202</v>
      </c>
      <c r="AC148">
        <f>1.56-((X148+Y148)/2-(-891.276))</f>
        <v>39.95151015000005</v>
      </c>
      <c r="AD148">
        <f>11.16-((Z148+AA148)/2-1045.761)</f>
        <v>8.632629999999981</v>
      </c>
      <c r="AH148">
        <f t="shared" si="151"/>
        <v>-28.331361533000063</v>
      </c>
      <c r="AI148">
        <f t="shared" si="151"/>
        <v>-28.288262887000087</v>
      </c>
      <c r="AJ148">
        <f t="shared" si="152"/>
        <v>-34.071464000000105</v>
      </c>
      <c r="AK148">
        <f t="shared" si="152"/>
        <v>-34.14025159999983</v>
      </c>
      <c r="AM148">
        <v>945</v>
      </c>
      <c r="AN148">
        <v>-1035.1</v>
      </c>
      <c r="AO148">
        <v>78.2</v>
      </c>
      <c r="AP148">
        <v>-857.9</v>
      </c>
      <c r="AQ148">
        <v>-7.9</v>
      </c>
      <c r="AS148">
        <v>-945</v>
      </c>
      <c r="AT148">
        <v>-75.8</v>
      </c>
      <c r="AU148">
        <v>1010.2</v>
      </c>
      <c r="AV148">
        <v>96.3</v>
      </c>
      <c r="AW148">
        <v>927.2</v>
      </c>
      <c r="AY148" t="s">
        <v>52</v>
      </c>
    </row>
    <row r="149" spans="1:51" ht="16.5">
      <c r="A149" s="1">
        <v>40750</v>
      </c>
      <c r="B149" s="13">
        <v>97.554696</v>
      </c>
      <c r="C149" s="13">
        <v>83.932702</v>
      </c>
      <c r="D149">
        <v>23.799505</v>
      </c>
      <c r="E149">
        <v>10.237831</v>
      </c>
      <c r="G149" s="13">
        <v>1986.5886</v>
      </c>
      <c r="H149" s="13">
        <v>1979.5886</v>
      </c>
      <c r="I149">
        <v>106.1418</v>
      </c>
      <c r="J149">
        <v>98.952833</v>
      </c>
      <c r="L149">
        <f t="shared" si="149"/>
        <v>97.554696</v>
      </c>
      <c r="M149">
        <f t="shared" si="149"/>
        <v>83.932702</v>
      </c>
      <c r="N149">
        <f>D149+(AM149-945)</f>
        <v>23.799505</v>
      </c>
      <c r="O149">
        <f>E149+(AM149-945)</f>
        <v>10.237831</v>
      </c>
      <c r="Q149">
        <f t="shared" si="150"/>
        <v>1986.5886</v>
      </c>
      <c r="R149">
        <f t="shared" si="150"/>
        <v>1979.5886</v>
      </c>
      <c r="S149">
        <f>I149+(AS149+945)</f>
        <v>106.1418</v>
      </c>
      <c r="T149">
        <f>J149+(AS149+945)</f>
        <v>98.952833</v>
      </c>
      <c r="V149" s="7">
        <v>944.78857</v>
      </c>
      <c r="X149" s="2">
        <f>N149-V149</f>
        <v>-920.9890650000001</v>
      </c>
      <c r="Y149" s="2">
        <f>O149-V149</f>
        <v>-934.550739</v>
      </c>
      <c r="Z149" s="2">
        <f>S149+V149</f>
        <v>1050.93037</v>
      </c>
      <c r="AA149" s="2">
        <f>T149+V149</f>
        <v>1043.741403</v>
      </c>
      <c r="AC149">
        <f>1.56-((X149+Y149)/2-(-891.276))</f>
        <v>38.05390200000005</v>
      </c>
      <c r="AD149">
        <f>11.16-((Z149+AA149)/2-1045.761)</f>
        <v>9.585113499999952</v>
      </c>
      <c r="AH149">
        <f t="shared" si="151"/>
        <v>-29.36445657600018</v>
      </c>
      <c r="AI149">
        <f t="shared" si="151"/>
        <v>-28.881854762000103</v>
      </c>
      <c r="AJ149">
        <f t="shared" si="152"/>
        <v>-34.57211659999996</v>
      </c>
      <c r="AK149">
        <f t="shared" si="152"/>
        <v>-34.54408360000002</v>
      </c>
      <c r="AM149">
        <v>945</v>
      </c>
      <c r="AN149">
        <v>-1035.8</v>
      </c>
      <c r="AO149">
        <v>78.8</v>
      </c>
      <c r="AP149">
        <v>-857</v>
      </c>
      <c r="AQ149">
        <v>-8.7</v>
      </c>
      <c r="AS149">
        <v>-945</v>
      </c>
      <c r="AT149">
        <v>-76.8</v>
      </c>
      <c r="AU149">
        <v>1010.7</v>
      </c>
      <c r="AV149">
        <v>97.3</v>
      </c>
      <c r="AW149">
        <v>926.3</v>
      </c>
      <c r="AY149" t="s">
        <v>106</v>
      </c>
    </row>
    <row r="150" spans="1:27" ht="16.5">
      <c r="A150" s="1">
        <v>40758</v>
      </c>
      <c r="B150" s="13"/>
      <c r="C150" s="13"/>
      <c r="G150" s="13"/>
      <c r="H150" s="13"/>
      <c r="V150" s="7">
        <v>945.63744</v>
      </c>
      <c r="X150" s="2"/>
      <c r="Y150" s="2"/>
      <c r="Z150" s="2"/>
      <c r="AA150" s="2"/>
    </row>
    <row r="151" spans="1:51" ht="16.5">
      <c r="A151" s="1">
        <v>40759</v>
      </c>
      <c r="B151" s="13">
        <v>108.14476</v>
      </c>
      <c r="C151" s="13">
        <v>88.982826</v>
      </c>
      <c r="D151">
        <v>35.887313</v>
      </c>
      <c r="E151">
        <v>16.529975</v>
      </c>
      <c r="G151" s="13">
        <v>1982.4082</v>
      </c>
      <c r="H151" s="13">
        <v>1980.2121</v>
      </c>
      <c r="I151">
        <v>99.923255</v>
      </c>
      <c r="J151">
        <v>97.494069</v>
      </c>
      <c r="L151">
        <f>B151</f>
        <v>108.14476</v>
      </c>
      <c r="M151">
        <f>C151</f>
        <v>88.982826</v>
      </c>
      <c r="N151">
        <f>D151+(AM151-945)</f>
        <v>35.887313</v>
      </c>
      <c r="O151">
        <f>E151+(AM151-945)</f>
        <v>16.529975</v>
      </c>
      <c r="Q151">
        <f>G151</f>
        <v>1982.4082</v>
      </c>
      <c r="R151">
        <f>H151</f>
        <v>1980.2121</v>
      </c>
      <c r="S151">
        <f>I151+(AS151+945)</f>
        <v>99.923255</v>
      </c>
      <c r="T151">
        <f>J151+(AS151+945)</f>
        <v>97.494069</v>
      </c>
      <c r="V151" s="7">
        <v>945.76188</v>
      </c>
      <c r="X151" s="2">
        <f>N151-V151</f>
        <v>-909.8745670000001</v>
      </c>
      <c r="Y151" s="2">
        <f>O151-V151</f>
        <v>-929.231905</v>
      </c>
      <c r="Z151" s="2">
        <f>S151+V151</f>
        <v>1045.685135</v>
      </c>
      <c r="AA151" s="2">
        <f>T151+V151</f>
        <v>1043.255949</v>
      </c>
      <c r="AC151">
        <f>1.56-((X151+Y151)/2-(-891.276))</f>
        <v>29.837236000000015</v>
      </c>
      <c r="AD151">
        <f>11.16-((Z151+AA151)/2-1045.761)</f>
        <v>12.450457999999944</v>
      </c>
      <c r="AH151">
        <f>(X151-1024*0.0545)-(L151-1024+7.5)*1.031</f>
        <v>-29.168314560000113</v>
      </c>
      <c r="AI151">
        <f>(Y151-1024*0.0545)-(M151-1024+7.5)*1.031</f>
        <v>-28.769698606000134</v>
      </c>
      <c r="AJ151">
        <f>(Z151-2048*0.0545)-(Q151-1024-15.56)*1.031+2.5</f>
        <v>-35.50735920000011</v>
      </c>
      <c r="AK151">
        <f>(AA151-2048*0.0545)-(R151-1024-15.56)*1.031+2.5</f>
        <v>-35.67236609999986</v>
      </c>
      <c r="AM151">
        <v>945</v>
      </c>
      <c r="AN151">
        <v>-1038.5</v>
      </c>
      <c r="AO151">
        <v>81.3</v>
      </c>
      <c r="AP151">
        <v>-854</v>
      </c>
      <c r="AQ151">
        <v>-10.9</v>
      </c>
      <c r="AS151">
        <v>-945</v>
      </c>
      <c r="AT151">
        <v>-79.6</v>
      </c>
      <c r="AU151">
        <v>1013.2</v>
      </c>
      <c r="AV151">
        <v>100.3</v>
      </c>
      <c r="AW151">
        <v>924.1</v>
      </c>
      <c r="AY151" t="s">
        <v>52</v>
      </c>
    </row>
    <row r="152" spans="1:49" ht="16.5">
      <c r="A152" s="1">
        <v>40763</v>
      </c>
      <c r="B152" s="13">
        <v>119.44726</v>
      </c>
      <c r="C152" s="13">
        <v>95.600673</v>
      </c>
      <c r="D152">
        <v>48.597719</v>
      </c>
      <c r="E152">
        <v>23.902236</v>
      </c>
      <c r="G152" s="13">
        <v>1977.9377</v>
      </c>
      <c r="H152" s="13">
        <v>1980.5709</v>
      </c>
      <c r="I152">
        <v>93.993539</v>
      </c>
      <c r="J152">
        <v>96.822138</v>
      </c>
      <c r="L152">
        <f>B152</f>
        <v>119.44726</v>
      </c>
      <c r="M152">
        <f>C152</f>
        <v>95.600673</v>
      </c>
      <c r="N152">
        <f>D152+(AM152-945)</f>
        <v>48.597719</v>
      </c>
      <c r="O152">
        <f>E152+(AM152-945)</f>
        <v>23.902236</v>
      </c>
      <c r="Q152">
        <f>G152</f>
        <v>1977.9377</v>
      </c>
      <c r="R152">
        <f>H152</f>
        <v>1980.5709</v>
      </c>
      <c r="S152">
        <f>I152+(AS152+945)</f>
        <v>93.993539</v>
      </c>
      <c r="T152">
        <f>J152+(AS152+945)</f>
        <v>96.822138</v>
      </c>
      <c r="V152" s="7">
        <v>946.29913</v>
      </c>
      <c r="X152" s="2">
        <f>N152-V152</f>
        <v>-897.701411</v>
      </c>
      <c r="Y152" s="2">
        <f>O152-V152</f>
        <v>-922.396894</v>
      </c>
      <c r="Z152" s="2">
        <f>S152+V152</f>
        <v>1040.292669</v>
      </c>
      <c r="AA152" s="2">
        <f>T152+V152</f>
        <v>1043.1212679999999</v>
      </c>
      <c r="AC152">
        <f>1.56-((X152+Y152)/2-(-891.276))</f>
        <v>20.333152500000036</v>
      </c>
      <c r="AD152">
        <f>11.16-((Z152+AA152)/2-1045.761)</f>
        <v>15.214031500000065</v>
      </c>
      <c r="AH152">
        <f>(X152-1024*0.0545)-(L152-1024+7.5)*1.031</f>
        <v>-28.648036060000095</v>
      </c>
      <c r="AI152">
        <f>(Y152-1024*0.0545)-(M152-1024+7.5)*1.031</f>
        <v>-28.757687863000115</v>
      </c>
      <c r="AJ152">
        <f>(Z152-2048*0.0545)-(Q152-1024-15.56)*1.031+2.5</f>
        <v>-36.29073970000002</v>
      </c>
      <c r="AK152">
        <f>(AA152-2048*0.0545)-(R152-1024-15.56)*1.031+2.5</f>
        <v>-36.17696990000002</v>
      </c>
      <c r="AM152">
        <v>945</v>
      </c>
      <c r="AN152">
        <v>-1040.8</v>
      </c>
      <c r="AO152">
        <v>83.8</v>
      </c>
      <c r="AP152">
        <v>-851.3</v>
      </c>
      <c r="AQ152">
        <v>-13.6</v>
      </c>
      <c r="AS152">
        <v>-945</v>
      </c>
      <c r="AT152">
        <v>-82</v>
      </c>
      <c r="AU152">
        <v>1015.8</v>
      </c>
      <c r="AV152">
        <v>103.2</v>
      </c>
      <c r="AW152">
        <v>921.6</v>
      </c>
    </row>
    <row r="153" spans="1:43" ht="16.5">
      <c r="A153" s="1">
        <v>40767</v>
      </c>
      <c r="B153" s="13"/>
      <c r="C153" s="13"/>
      <c r="G153" s="13"/>
      <c r="H153" s="13"/>
      <c r="V153" s="7">
        <v>946.8979</v>
      </c>
      <c r="X153" s="2"/>
      <c r="Y153" s="2"/>
      <c r="Z153" s="2"/>
      <c r="AA153" s="2"/>
      <c r="AM153">
        <v>945</v>
      </c>
      <c r="AN153">
        <v>-1040.8</v>
      </c>
      <c r="AO153">
        <v>83.9</v>
      </c>
      <c r="AP153">
        <v>-851.4</v>
      </c>
      <c r="AQ153">
        <v>-13.7</v>
      </c>
    </row>
    <row r="154" spans="1:27" ht="16.5">
      <c r="A154" s="1">
        <v>40774</v>
      </c>
      <c r="B154" s="13"/>
      <c r="C154" s="13"/>
      <c r="G154" s="13"/>
      <c r="H154" s="13"/>
      <c r="V154" s="7">
        <v>948.08648</v>
      </c>
      <c r="X154" s="2"/>
      <c r="Y154" s="2"/>
      <c r="Z154" s="2"/>
      <c r="AA154" s="2"/>
    </row>
    <row r="155" spans="1:49" ht="16.5">
      <c r="A155" s="1">
        <v>40778</v>
      </c>
      <c r="B155" s="13">
        <v>120.32009</v>
      </c>
      <c r="C155" s="13">
        <v>96.173576</v>
      </c>
      <c r="D155">
        <v>50.796616</v>
      </c>
      <c r="E155">
        <v>25.678139</v>
      </c>
      <c r="G155" s="13">
        <v>1977.7684</v>
      </c>
      <c r="H155" s="13">
        <v>1980.5571</v>
      </c>
      <c r="I155">
        <v>94.021229</v>
      </c>
      <c r="J155">
        <v>96.958363</v>
      </c>
      <c r="L155">
        <f aca="true" t="shared" si="153" ref="L155:M162">B155</f>
        <v>120.32009</v>
      </c>
      <c r="M155">
        <f t="shared" si="153"/>
        <v>96.173576</v>
      </c>
      <c r="N155">
        <f aca="true" t="shared" si="154" ref="N155:N161">D155+(AM155-945)</f>
        <v>50.796616</v>
      </c>
      <c r="O155">
        <f aca="true" t="shared" si="155" ref="O155:O161">E155+(AM155-945)</f>
        <v>25.678139</v>
      </c>
      <c r="Q155">
        <f aca="true" t="shared" si="156" ref="Q155:R162">G155</f>
        <v>1977.7684</v>
      </c>
      <c r="R155">
        <f t="shared" si="156"/>
        <v>1980.5571</v>
      </c>
      <c r="S155">
        <f aca="true" t="shared" si="157" ref="S155:S161">I155+(AS155+945)</f>
        <v>94.021229</v>
      </c>
      <c r="T155">
        <f aca="true" t="shared" si="158" ref="T155:T161">J155+(AS155+945)</f>
        <v>96.958363</v>
      </c>
      <c r="V155" s="7">
        <v>948.84139</v>
      </c>
      <c r="X155" s="2">
        <f aca="true" t="shared" si="159" ref="X155:X161">N155-V155</f>
        <v>-898.0447740000001</v>
      </c>
      <c r="Y155" s="2">
        <f aca="true" t="shared" si="160" ref="Y155:Y161">O155-V155</f>
        <v>-923.1632510000001</v>
      </c>
      <c r="Z155" s="2">
        <f aca="true" t="shared" si="161" ref="Z155:Z161">S155+V155</f>
        <v>1042.862619</v>
      </c>
      <c r="AA155" s="2">
        <f aca="true" t="shared" si="162" ref="AA155:AA161">T155+V155</f>
        <v>1045.799753</v>
      </c>
      <c r="AC155">
        <f aca="true" t="shared" si="163" ref="AC155:AC161">1.56-((X155+Y155)/2-(-891.276))</f>
        <v>20.888012500000112</v>
      </c>
      <c r="AD155">
        <f aca="true" t="shared" si="164" ref="AD155:AD161">11.16-((Z155+AA155)/2-1045.761)</f>
        <v>12.589814000000079</v>
      </c>
      <c r="AH155">
        <f aca="true" t="shared" si="165" ref="AH155:AI161">(X155-1024*0.0545)-(L155-1024+7.5)*1.031</f>
        <v>-29.891286790000095</v>
      </c>
      <c r="AI155">
        <f t="shared" si="165"/>
        <v>-30.11470785600011</v>
      </c>
      <c r="AJ155">
        <f aca="true" t="shared" si="166" ref="AJ155:AK161">(Z155-2048*0.0545)-(Q155-1024-15.56)*1.031+2.5</f>
        <v>-33.54624139999987</v>
      </c>
      <c r="AK155">
        <f t="shared" si="166"/>
        <v>-33.48425709999992</v>
      </c>
      <c r="AM155">
        <v>945</v>
      </c>
      <c r="AN155">
        <v>-1041.2</v>
      </c>
      <c r="AO155">
        <v>84.2</v>
      </c>
      <c r="AP155">
        <v>-851.2</v>
      </c>
      <c r="AQ155">
        <v>-13.7</v>
      </c>
      <c r="AS155">
        <v>-945</v>
      </c>
      <c r="AT155">
        <v>-82.1</v>
      </c>
      <c r="AU155">
        <v>1015.8</v>
      </c>
      <c r="AV155">
        <v>103.4</v>
      </c>
      <c r="AW155">
        <v>921.4</v>
      </c>
    </row>
    <row r="156" spans="1:49" ht="16.5">
      <c r="A156" s="1">
        <v>40785</v>
      </c>
      <c r="B156" s="13">
        <v>120.81571</v>
      </c>
      <c r="C156" s="13">
        <v>96.355831</v>
      </c>
      <c r="D156">
        <v>52.666811</v>
      </c>
      <c r="E156">
        <v>27.386467</v>
      </c>
      <c r="G156" s="13">
        <v>1977.0273</v>
      </c>
      <c r="H156" s="13">
        <v>1980.5689</v>
      </c>
      <c r="I156">
        <v>91.643592</v>
      </c>
      <c r="J156">
        <v>95.103749</v>
      </c>
      <c r="L156">
        <f t="shared" si="153"/>
        <v>120.81571</v>
      </c>
      <c r="M156">
        <f t="shared" si="153"/>
        <v>96.355831</v>
      </c>
      <c r="N156">
        <f t="shared" si="154"/>
        <v>52.666811</v>
      </c>
      <c r="O156">
        <f t="shared" si="155"/>
        <v>27.386467</v>
      </c>
      <c r="Q156">
        <f t="shared" si="156"/>
        <v>1977.0273</v>
      </c>
      <c r="R156">
        <f t="shared" si="156"/>
        <v>1980.5689</v>
      </c>
      <c r="S156">
        <f t="shared" si="157"/>
        <v>91.643592</v>
      </c>
      <c r="T156">
        <f t="shared" si="158"/>
        <v>95.103749</v>
      </c>
      <c r="V156" s="7">
        <v>950.28389</v>
      </c>
      <c r="X156" s="2">
        <f t="shared" si="159"/>
        <v>-897.617079</v>
      </c>
      <c r="Y156" s="2">
        <f t="shared" si="160"/>
        <v>-922.897423</v>
      </c>
      <c r="Z156" s="2">
        <f t="shared" si="161"/>
        <v>1041.927482</v>
      </c>
      <c r="AA156" s="2">
        <f t="shared" si="162"/>
        <v>1045.387639</v>
      </c>
      <c r="AC156">
        <f t="shared" si="163"/>
        <v>20.54125100000004</v>
      </c>
      <c r="AD156">
        <f t="shared" si="164"/>
        <v>13.263439499999922</v>
      </c>
      <c r="AH156">
        <f t="shared" si="165"/>
        <v>-29.974576010000078</v>
      </c>
      <c r="AI156">
        <f t="shared" si="165"/>
        <v>-30.036784761000035</v>
      </c>
      <c r="AJ156">
        <f t="shared" si="166"/>
        <v>-33.71730429999991</v>
      </c>
      <c r="AK156">
        <f t="shared" si="166"/>
        <v>-33.908536899999945</v>
      </c>
      <c r="AM156">
        <v>945</v>
      </c>
      <c r="AN156">
        <v>-1041.2</v>
      </c>
      <c r="AO156">
        <v>84.1</v>
      </c>
      <c r="AP156">
        <v>-851</v>
      </c>
      <c r="AQ156">
        <v>-13.9</v>
      </c>
      <c r="AS156">
        <v>-945</v>
      </c>
      <c r="AT156">
        <v>-82.7</v>
      </c>
      <c r="AU156">
        <v>1016.1</v>
      </c>
      <c r="AV156">
        <v>103.8</v>
      </c>
      <c r="AW156">
        <v>921.2</v>
      </c>
    </row>
    <row r="157" spans="1:49" ht="16.5">
      <c r="A157" s="1">
        <v>40858</v>
      </c>
      <c r="B157" s="13">
        <v>124.72086</v>
      </c>
      <c r="C157" s="13">
        <v>98.059581</v>
      </c>
      <c r="D157">
        <v>77.271881</v>
      </c>
      <c r="E157">
        <v>49.540534</v>
      </c>
      <c r="G157" s="13">
        <v>1975.7444</v>
      </c>
      <c r="H157" s="13">
        <v>1980.7848</v>
      </c>
      <c r="I157">
        <v>70.987733</v>
      </c>
      <c r="J157">
        <v>76.349063</v>
      </c>
      <c r="L157">
        <f t="shared" si="153"/>
        <v>124.72086</v>
      </c>
      <c r="M157">
        <f t="shared" si="153"/>
        <v>98.059581</v>
      </c>
      <c r="N157">
        <f t="shared" si="154"/>
        <v>77.271881</v>
      </c>
      <c r="O157">
        <f t="shared" si="155"/>
        <v>49.540534</v>
      </c>
      <c r="Q157">
        <f t="shared" si="156"/>
        <v>1975.7444</v>
      </c>
      <c r="R157">
        <f t="shared" si="156"/>
        <v>1980.7848</v>
      </c>
      <c r="S157">
        <f t="shared" si="157"/>
        <v>70.987733</v>
      </c>
      <c r="T157">
        <f t="shared" si="158"/>
        <v>76.349063</v>
      </c>
      <c r="V157" s="7">
        <v>969.11699</v>
      </c>
      <c r="X157" s="2">
        <f t="shared" si="159"/>
        <v>-891.845109</v>
      </c>
      <c r="Y157" s="2">
        <f t="shared" si="160"/>
        <v>-919.576456</v>
      </c>
      <c r="Z157" s="2">
        <f t="shared" si="161"/>
        <v>1040.104723</v>
      </c>
      <c r="AA157" s="2">
        <f t="shared" si="162"/>
        <v>1045.466053</v>
      </c>
      <c r="AC157">
        <f t="shared" si="163"/>
        <v>15.994782500000097</v>
      </c>
      <c r="AD157">
        <f t="shared" si="164"/>
        <v>14.135611999999956</v>
      </c>
      <c r="AH157">
        <f t="shared" si="165"/>
        <v>-28.22881566000001</v>
      </c>
      <c r="AI157">
        <f t="shared" si="165"/>
        <v>-28.47238401100003</v>
      </c>
      <c r="AJ157">
        <f t="shared" si="166"/>
        <v>-34.217393400000105</v>
      </c>
      <c r="AK157">
        <f t="shared" si="166"/>
        <v>-34.05271579999976</v>
      </c>
      <c r="AM157">
        <v>945</v>
      </c>
      <c r="AN157">
        <v>-1042.4</v>
      </c>
      <c r="AO157">
        <v>85.2</v>
      </c>
      <c r="AP157">
        <v>-849.9</v>
      </c>
      <c r="AQ157">
        <v>-15.1</v>
      </c>
      <c r="AS157">
        <v>-945</v>
      </c>
      <c r="AT157">
        <v>-83.8</v>
      </c>
      <c r="AU157">
        <v>1017.2</v>
      </c>
      <c r="AV157">
        <v>104.3</v>
      </c>
      <c r="AW157">
        <v>920.3</v>
      </c>
    </row>
    <row r="158" spans="1:49" ht="16.5">
      <c r="A158" s="1">
        <v>40915</v>
      </c>
      <c r="B158" s="13">
        <v>126.45518</v>
      </c>
      <c r="C158" s="13">
        <v>97.63765</v>
      </c>
      <c r="D158">
        <v>85.777822</v>
      </c>
      <c r="E158">
        <v>56.138508</v>
      </c>
      <c r="G158" s="13">
        <v>1974.0663</v>
      </c>
      <c r="H158" s="13">
        <v>1980.3905</v>
      </c>
      <c r="I158">
        <v>59.819329</v>
      </c>
      <c r="J158">
        <v>66.424464</v>
      </c>
      <c r="L158">
        <f t="shared" si="153"/>
        <v>126.45518</v>
      </c>
      <c r="M158">
        <f t="shared" si="153"/>
        <v>97.63765</v>
      </c>
      <c r="N158">
        <f t="shared" si="154"/>
        <v>85.777822</v>
      </c>
      <c r="O158">
        <f t="shared" si="155"/>
        <v>56.138508</v>
      </c>
      <c r="Q158">
        <f t="shared" si="156"/>
        <v>1974.0663</v>
      </c>
      <c r="R158">
        <f t="shared" si="156"/>
        <v>1980.3905</v>
      </c>
      <c r="S158">
        <f t="shared" si="157"/>
        <v>59.819329</v>
      </c>
      <c r="T158">
        <f t="shared" si="158"/>
        <v>66.424464</v>
      </c>
      <c r="V158" s="7">
        <v>975.91089</v>
      </c>
      <c r="X158" s="2">
        <f t="shared" si="159"/>
        <v>-890.133068</v>
      </c>
      <c r="Y158" s="2">
        <f t="shared" si="160"/>
        <v>-919.772382</v>
      </c>
      <c r="Z158" s="2">
        <f t="shared" si="161"/>
        <v>1035.730219</v>
      </c>
      <c r="AA158" s="2">
        <f t="shared" si="162"/>
        <v>1042.335354</v>
      </c>
      <c r="AC158">
        <f t="shared" si="163"/>
        <v>15.236725000000034</v>
      </c>
      <c r="AD158">
        <f t="shared" si="164"/>
        <v>17.888213500000038</v>
      </c>
      <c r="AH158">
        <f t="shared" si="165"/>
        <v>-28.304858580000086</v>
      </c>
      <c r="AI158">
        <f t="shared" si="165"/>
        <v>-28.233299150000107</v>
      </c>
      <c r="AJ158">
        <f t="shared" si="166"/>
        <v>-36.86177629999986</v>
      </c>
      <c r="AK158">
        <f t="shared" si="166"/>
        <v>-36.77689149999992</v>
      </c>
      <c r="AM158">
        <v>945</v>
      </c>
      <c r="AN158">
        <v>-1043.8</v>
      </c>
      <c r="AO158">
        <v>85.7</v>
      </c>
      <c r="AP158">
        <v>-849.5</v>
      </c>
      <c r="AQ158">
        <v>-15.6</v>
      </c>
      <c r="AS158">
        <v>-945</v>
      </c>
      <c r="AT158">
        <v>-85</v>
      </c>
      <c r="AU158">
        <v>1017.5</v>
      </c>
      <c r="AV158">
        <v>105.2</v>
      </c>
      <c r="AW158">
        <v>919.6</v>
      </c>
    </row>
    <row r="159" spans="1:49" ht="16.5">
      <c r="A159" s="1">
        <v>40950</v>
      </c>
      <c r="B159" s="13">
        <v>125.01747</v>
      </c>
      <c r="C159" s="13">
        <v>96.944539</v>
      </c>
      <c r="D159">
        <v>80.417518</v>
      </c>
      <c r="E159">
        <v>51.394375</v>
      </c>
      <c r="G159" s="13">
        <v>1974.7777</v>
      </c>
      <c r="H159" s="13">
        <v>1980.3762</v>
      </c>
      <c r="I159">
        <v>63.775975</v>
      </c>
      <c r="J159">
        <v>69.653652</v>
      </c>
      <c r="L159">
        <f t="shared" si="153"/>
        <v>125.01747</v>
      </c>
      <c r="M159">
        <f t="shared" si="153"/>
        <v>96.944539</v>
      </c>
      <c r="N159">
        <f t="shared" si="154"/>
        <v>80.417518</v>
      </c>
      <c r="O159">
        <f t="shared" si="155"/>
        <v>51.394375</v>
      </c>
      <c r="Q159">
        <f t="shared" si="156"/>
        <v>1974.7777</v>
      </c>
      <c r="R159">
        <f t="shared" si="156"/>
        <v>1980.3762</v>
      </c>
      <c r="S159">
        <f t="shared" si="157"/>
        <v>63.775975</v>
      </c>
      <c r="T159">
        <f t="shared" si="158"/>
        <v>69.653652</v>
      </c>
      <c r="V159" s="7">
        <v>972.44465</v>
      </c>
      <c r="X159" s="2">
        <f t="shared" si="159"/>
        <v>-892.027132</v>
      </c>
      <c r="Y159" s="2">
        <f t="shared" si="160"/>
        <v>-921.050275</v>
      </c>
      <c r="Z159" s="2">
        <f t="shared" si="161"/>
        <v>1036.220625</v>
      </c>
      <c r="AA159" s="2">
        <f t="shared" si="162"/>
        <v>1042.098302</v>
      </c>
      <c r="AC159">
        <f t="shared" si="163"/>
        <v>16.822703500000156</v>
      </c>
      <c r="AD159">
        <f t="shared" si="164"/>
        <v>17.76153649999984</v>
      </c>
      <c r="AH159">
        <f t="shared" si="165"/>
        <v>-28.716643570000087</v>
      </c>
      <c r="AI159">
        <f t="shared" si="165"/>
        <v>-28.796594709000033</v>
      </c>
      <c r="AJ159">
        <f t="shared" si="166"/>
        <v>-37.10482370000011</v>
      </c>
      <c r="AK159">
        <f t="shared" si="166"/>
        <v>-36.99920019999979</v>
      </c>
      <c r="AM159">
        <v>945</v>
      </c>
      <c r="AN159">
        <v>-1044</v>
      </c>
      <c r="AO159">
        <v>85.2</v>
      </c>
      <c r="AP159">
        <v>-849.9</v>
      </c>
      <c r="AQ159">
        <v>-15.4</v>
      </c>
      <c r="AS159">
        <v>-945</v>
      </c>
      <c r="AT159">
        <v>-85.1</v>
      </c>
      <c r="AU159">
        <v>1016.8</v>
      </c>
      <c r="AV159">
        <v>104.6</v>
      </c>
      <c r="AW159">
        <v>919.6</v>
      </c>
    </row>
    <row r="160" spans="1:49" ht="16.5">
      <c r="A160" s="1">
        <v>40988</v>
      </c>
      <c r="B160" s="13">
        <v>122.04658</v>
      </c>
      <c r="C160" s="13">
        <v>96.008189</v>
      </c>
      <c r="D160">
        <v>67.945454</v>
      </c>
      <c r="E160">
        <v>40.940611</v>
      </c>
      <c r="G160" s="13">
        <v>1975.355</v>
      </c>
      <c r="H160" s="13">
        <v>1979.8269</v>
      </c>
      <c r="I160">
        <v>74.676219</v>
      </c>
      <c r="J160">
        <v>79.17994</v>
      </c>
      <c r="L160">
        <f t="shared" si="153"/>
        <v>122.04658</v>
      </c>
      <c r="M160">
        <f t="shared" si="153"/>
        <v>96.008189</v>
      </c>
      <c r="N160">
        <f t="shared" si="154"/>
        <v>67.945454</v>
      </c>
      <c r="O160">
        <f t="shared" si="155"/>
        <v>40.940611</v>
      </c>
      <c r="Q160">
        <f t="shared" si="156"/>
        <v>1975.355</v>
      </c>
      <c r="R160">
        <f t="shared" si="156"/>
        <v>1979.8269</v>
      </c>
      <c r="S160">
        <f t="shared" si="157"/>
        <v>74.676219</v>
      </c>
      <c r="T160">
        <f t="shared" si="158"/>
        <v>79.17994</v>
      </c>
      <c r="V160" s="7">
        <v>963.60322</v>
      </c>
      <c r="X160" s="2">
        <f t="shared" si="159"/>
        <v>-895.6577659999999</v>
      </c>
      <c r="Y160" s="2">
        <f t="shared" si="160"/>
        <v>-922.662609</v>
      </c>
      <c r="Z160" s="2">
        <f t="shared" si="161"/>
        <v>1038.279439</v>
      </c>
      <c r="AA160" s="2">
        <f t="shared" si="162"/>
        <v>1042.78316</v>
      </c>
      <c r="AC160">
        <f t="shared" si="163"/>
        <v>19.444187499999938</v>
      </c>
      <c r="AD160">
        <f t="shared" si="164"/>
        <v>16.389700500000036</v>
      </c>
      <c r="AH160">
        <f t="shared" si="165"/>
        <v>-29.284289979999926</v>
      </c>
      <c r="AI160">
        <f t="shared" si="165"/>
        <v>-29.44355185900008</v>
      </c>
      <c r="AJ160">
        <f t="shared" si="166"/>
        <v>-35.641206000000125</v>
      </c>
      <c r="AK160">
        <f t="shared" si="166"/>
        <v>-35.748013900000046</v>
      </c>
      <c r="AM160">
        <v>945</v>
      </c>
      <c r="AN160">
        <v>-1042.8</v>
      </c>
      <c r="AO160">
        <v>84.7</v>
      </c>
      <c r="AP160">
        <v>-850.9</v>
      </c>
      <c r="AQ160">
        <v>-14.8</v>
      </c>
      <c r="AS160">
        <v>-945</v>
      </c>
      <c r="AT160">
        <v>-83.9</v>
      </c>
      <c r="AU160">
        <v>1016.4</v>
      </c>
      <c r="AV160">
        <v>103.6</v>
      </c>
      <c r="AW160">
        <v>920.4</v>
      </c>
    </row>
    <row r="161" spans="1:49" ht="16.5">
      <c r="A161" s="1">
        <v>41018</v>
      </c>
      <c r="B161" s="13">
        <v>119.84037</v>
      </c>
      <c r="C161" s="13">
        <v>95.407122</v>
      </c>
      <c r="D161">
        <v>56.565802</v>
      </c>
      <c r="E161">
        <v>31.274016</v>
      </c>
      <c r="G161" s="13">
        <v>1976.4395</v>
      </c>
      <c r="H161" s="13">
        <v>1979.5734</v>
      </c>
      <c r="I161">
        <v>83.373313</v>
      </c>
      <c r="J161">
        <v>86.797606</v>
      </c>
      <c r="L161">
        <f t="shared" si="153"/>
        <v>119.84037</v>
      </c>
      <c r="M161">
        <f t="shared" si="153"/>
        <v>95.407122</v>
      </c>
      <c r="N161">
        <f t="shared" si="154"/>
        <v>56.565802</v>
      </c>
      <c r="O161">
        <f t="shared" si="155"/>
        <v>31.274016</v>
      </c>
      <c r="Q161">
        <f t="shared" si="156"/>
        <v>1976.4395</v>
      </c>
      <c r="R161">
        <f t="shared" si="156"/>
        <v>1979.5734</v>
      </c>
      <c r="S161">
        <f t="shared" si="157"/>
        <v>83.373313</v>
      </c>
      <c r="T161">
        <f t="shared" si="158"/>
        <v>86.797606</v>
      </c>
      <c r="V161" s="7">
        <v>955.21865</v>
      </c>
      <c r="X161" s="2">
        <f t="shared" si="159"/>
        <v>-898.6528480000001</v>
      </c>
      <c r="Y161" s="2">
        <f t="shared" si="160"/>
        <v>-923.9446340000001</v>
      </c>
      <c r="Z161" s="2">
        <f t="shared" si="161"/>
        <v>1038.591963</v>
      </c>
      <c r="AA161" s="2">
        <f t="shared" si="162"/>
        <v>1042.016256</v>
      </c>
      <c r="AC161">
        <f t="shared" si="163"/>
        <v>21.58274100000011</v>
      </c>
      <c r="AD161">
        <f t="shared" si="164"/>
        <v>16.616890499999872</v>
      </c>
      <c r="AH161">
        <f t="shared" si="165"/>
        <v>-30.004769470000156</v>
      </c>
      <c r="AI161">
        <f t="shared" si="165"/>
        <v>-30.10587678200011</v>
      </c>
      <c r="AJ161">
        <f t="shared" si="166"/>
        <v>-36.44680149999988</v>
      </c>
      <c r="AK161">
        <f t="shared" si="166"/>
        <v>-36.25355939999986</v>
      </c>
      <c r="AM161">
        <v>945</v>
      </c>
      <c r="AN161">
        <v>-1042.4</v>
      </c>
      <c r="AO161">
        <v>83.8</v>
      </c>
      <c r="AP161">
        <v>-851.8</v>
      </c>
      <c r="AQ161">
        <v>-14.3</v>
      </c>
      <c r="AS161">
        <v>-945</v>
      </c>
      <c r="AT161">
        <v>-82.8</v>
      </c>
      <c r="AU161">
        <v>1015.8</v>
      </c>
      <c r="AV161">
        <v>102.8</v>
      </c>
      <c r="AW161">
        <v>920.9</v>
      </c>
    </row>
    <row r="162" spans="1:51" ht="16.5">
      <c r="A162" s="1">
        <v>41033</v>
      </c>
      <c r="B162" s="13">
        <v>118.48885</v>
      </c>
      <c r="C162" s="13">
        <v>94.744895</v>
      </c>
      <c r="G162" s="13">
        <v>1976.2607</v>
      </c>
      <c r="H162" s="13">
        <v>1979.1735</v>
      </c>
      <c r="L162">
        <f t="shared" si="153"/>
        <v>118.48885</v>
      </c>
      <c r="M162">
        <f t="shared" si="153"/>
        <v>94.744895</v>
      </c>
      <c r="Q162">
        <f t="shared" si="156"/>
        <v>1976.2607</v>
      </c>
      <c r="R162">
        <f t="shared" si="156"/>
        <v>1979.1735</v>
      </c>
      <c r="V162" s="7">
        <v>951.56458</v>
      </c>
      <c r="X162" s="2"/>
      <c r="Y162" s="2"/>
      <c r="Z162" s="2"/>
      <c r="AA162" s="2"/>
      <c r="AM162">
        <v>945</v>
      </c>
      <c r="AN162">
        <v>-1041.6</v>
      </c>
      <c r="AO162">
        <v>83.6</v>
      </c>
      <c r="AP162">
        <v>-852.2</v>
      </c>
      <c r="AQ162">
        <v>-13.9</v>
      </c>
      <c r="AS162">
        <v>-945</v>
      </c>
      <c r="AT162">
        <v>-82.8</v>
      </c>
      <c r="AU162">
        <v>1015.6</v>
      </c>
      <c r="AV162">
        <v>102.5</v>
      </c>
      <c r="AW162">
        <v>921.2</v>
      </c>
      <c r="AY162" t="s">
        <v>52</v>
      </c>
    </row>
    <row r="163" spans="1:51" ht="16.5">
      <c r="A163" s="1">
        <v>41039</v>
      </c>
      <c r="B163" s="13"/>
      <c r="C163" s="13"/>
      <c r="G163" s="13"/>
      <c r="H163" s="13"/>
      <c r="V163" s="7"/>
      <c r="X163" s="2"/>
      <c r="Y163" s="2"/>
      <c r="Z163" s="2"/>
      <c r="AA163" s="2"/>
      <c r="AS163">
        <v>-945</v>
      </c>
      <c r="AT163">
        <v>-79</v>
      </c>
      <c r="AU163">
        <v>1012.2</v>
      </c>
      <c r="AV163">
        <v>101.5</v>
      </c>
      <c r="AW163">
        <v>925.1</v>
      </c>
      <c r="AY163" t="s">
        <v>98</v>
      </c>
    </row>
    <row r="164" spans="1:51" ht="16.5">
      <c r="A164" s="1">
        <v>41044</v>
      </c>
      <c r="B164" s="13">
        <v>97.964658</v>
      </c>
      <c r="C164" s="13">
        <v>83.209939</v>
      </c>
      <c r="D164">
        <v>28.742632</v>
      </c>
      <c r="E164">
        <v>13.83796</v>
      </c>
      <c r="G164" s="13">
        <v>1984.4418</v>
      </c>
      <c r="H164" s="13">
        <v>1977.4782</v>
      </c>
      <c r="I164">
        <v>100.36477</v>
      </c>
      <c r="J164">
        <v>92.667102</v>
      </c>
      <c r="L164">
        <f>B164</f>
        <v>97.964658</v>
      </c>
      <c r="M164">
        <f>C164</f>
        <v>83.209939</v>
      </c>
      <c r="N164">
        <f>D164+(AM164-945)</f>
        <v>28.742632</v>
      </c>
      <c r="O164">
        <f>E164+(AM164-945)</f>
        <v>13.83796</v>
      </c>
      <c r="Q164">
        <f>G164</f>
        <v>1984.4418</v>
      </c>
      <c r="R164">
        <f>H164</f>
        <v>1977.4782</v>
      </c>
      <c r="S164">
        <f>I164+(AS164+945)</f>
        <v>100.36477</v>
      </c>
      <c r="T164">
        <f>J164+(AS164+945)</f>
        <v>92.667102</v>
      </c>
      <c r="V164" s="7">
        <v>949.28955</v>
      </c>
      <c r="X164" s="2">
        <f>N164-V164</f>
        <v>-920.546918</v>
      </c>
      <c r="Y164" s="2">
        <f>O164-V164</f>
        <v>-935.45159</v>
      </c>
      <c r="Z164" s="2">
        <f>S164+V164</f>
        <v>1049.6543199999999</v>
      </c>
      <c r="AA164" s="2">
        <f>T164+V164</f>
        <v>1041.9566519999998</v>
      </c>
      <c r="AC164">
        <f>1.56-((X164+Y164)/2-(-891.276))</f>
        <v>38.28325400000011</v>
      </c>
      <c r="AD164">
        <f>11.16-((Z164+AA164)/2-1045.761)</f>
        <v>11.115514000000221</v>
      </c>
      <c r="AH164">
        <f>(X164-1024*0.0545)-(L164-1024+7.5)*1.031</f>
        <v>-29.344980398000075</v>
      </c>
      <c r="AI164">
        <f>(Y164-1024*0.0545)-(M164-1024+7.5)*1.031</f>
        <v>-29.037537109000027</v>
      </c>
      <c r="AJ164">
        <f>(Z164-2048*0.0545)-(Q164-1024-15.56)*1.031+2.5</f>
        <v>-33.63481580000018</v>
      </c>
      <c r="AK164">
        <f>(AA164-2048*0.0545)-(R164-1024-15.56)*1.031+2.5</f>
        <v>-34.15301220000015</v>
      </c>
      <c r="AM164">
        <v>945</v>
      </c>
      <c r="AN164">
        <v>-1036.8</v>
      </c>
      <c r="AO164">
        <v>78.4</v>
      </c>
      <c r="AP164">
        <v>-856.8</v>
      </c>
      <c r="AQ164">
        <v>-8.9</v>
      </c>
      <c r="AS164">
        <v>-945</v>
      </c>
      <c r="AT164">
        <v>-77.7</v>
      </c>
      <c r="AU164">
        <v>1010.3</v>
      </c>
      <c r="AV164">
        <v>97.6</v>
      </c>
      <c r="AW164">
        <v>926.4</v>
      </c>
      <c r="AY164" t="s">
        <v>99</v>
      </c>
    </row>
    <row r="165" spans="1:51" ht="16.5">
      <c r="A165" s="1">
        <v>41048</v>
      </c>
      <c r="B165" s="13"/>
      <c r="C165" s="13"/>
      <c r="G165" s="13"/>
      <c r="H165" s="13"/>
      <c r="V165" s="7"/>
      <c r="X165" s="2"/>
      <c r="Y165" s="2"/>
      <c r="Z165" s="2"/>
      <c r="AA165" s="2"/>
      <c r="AY165" t="s">
        <v>52</v>
      </c>
    </row>
    <row r="166" spans="1:51" ht="16.5">
      <c r="A166" s="1">
        <v>41055</v>
      </c>
      <c r="B166" s="13">
        <v>90.153537</v>
      </c>
      <c r="C166" s="13">
        <v>77.514212</v>
      </c>
      <c r="D166">
        <v>18.850712</v>
      </c>
      <c r="E166">
        <v>6.3676742</v>
      </c>
      <c r="G166" s="13">
        <v>1988.0107</v>
      </c>
      <c r="H166" s="13">
        <v>1977.9386</v>
      </c>
      <c r="I166">
        <v>106.40529</v>
      </c>
      <c r="J166">
        <v>96.010586</v>
      </c>
      <c r="L166">
        <f aca="true" t="shared" si="167" ref="L166:M177">B166</f>
        <v>90.153537</v>
      </c>
      <c r="M166">
        <f t="shared" si="167"/>
        <v>77.514212</v>
      </c>
      <c r="N166">
        <f aca="true" t="shared" si="168" ref="N166:N173">D166+(AM166-945)</f>
        <v>18.850712</v>
      </c>
      <c r="O166">
        <f aca="true" t="shared" si="169" ref="O166:O173">E166+(AM166-945)</f>
        <v>6.3676742</v>
      </c>
      <c r="Q166">
        <f aca="true" t="shared" si="170" ref="Q166:R177">G166</f>
        <v>1988.0107</v>
      </c>
      <c r="R166">
        <f t="shared" si="170"/>
        <v>1977.9386</v>
      </c>
      <c r="S166">
        <f>I166+(AS166+945)</f>
        <v>106.40529</v>
      </c>
      <c r="T166">
        <f>J166+(AS166+945)</f>
        <v>96.010586</v>
      </c>
      <c r="V166" s="7">
        <v>947.26158</v>
      </c>
      <c r="X166" s="2">
        <f aca="true" t="shared" si="171" ref="X166:X177">N166-V166</f>
        <v>-928.4108679999999</v>
      </c>
      <c r="Y166" s="2">
        <f aca="true" t="shared" si="172" ref="Y166:Y177">O166-V166</f>
        <v>-940.8939058</v>
      </c>
      <c r="Z166" s="2">
        <f aca="true" t="shared" si="173" ref="Z166:Z177">S166+V166</f>
        <v>1053.66687</v>
      </c>
      <c r="AA166" s="2">
        <f aca="true" t="shared" si="174" ref="AA166:AA177">T166+V166</f>
        <v>1043.272166</v>
      </c>
      <c r="AC166">
        <f aca="true" t="shared" si="175" ref="AC166:AC177">1.56-((X166+Y166)/2-(-891.276))</f>
        <v>44.93638690000006</v>
      </c>
      <c r="AD166">
        <f aca="true" t="shared" si="176" ref="AD166:AD177">11.16-((Z166+AA166)/2-1045.761)</f>
        <v>8.451482000000087</v>
      </c>
      <c r="AH166">
        <f aca="true" t="shared" si="177" ref="AH166:AI177">(X166-1024*0.0545)-(L166-1024+7.5)*1.031</f>
        <v>-29.15566464699998</v>
      </c>
      <c r="AI166">
        <f t="shared" si="177"/>
        <v>-28.607558372000085</v>
      </c>
      <c r="AJ166">
        <f aca="true" t="shared" si="178" ref="AJ166:AK177">(Z166-2048*0.0545)-(Q166-1024-15.56)*1.031+2.5</f>
        <v>-33.30180169999994</v>
      </c>
      <c r="AK166">
        <f t="shared" si="178"/>
        <v>-33.312170599999945</v>
      </c>
      <c r="AM166">
        <v>945</v>
      </c>
      <c r="AN166">
        <v>-1035.6</v>
      </c>
      <c r="AO166">
        <v>76.9</v>
      </c>
      <c r="AP166">
        <v>-857.9</v>
      </c>
      <c r="AQ166">
        <v>-7.2</v>
      </c>
      <c r="AS166">
        <v>-945</v>
      </c>
      <c r="AT166">
        <v>-76.5</v>
      </c>
      <c r="AU166">
        <v>1009.1</v>
      </c>
      <c r="AV166">
        <v>96.7</v>
      </c>
      <c r="AW166">
        <v>927.9</v>
      </c>
      <c r="AY166" t="s">
        <v>100</v>
      </c>
    </row>
    <row r="167" spans="1:51" ht="16.5">
      <c r="A167" s="1">
        <v>41061</v>
      </c>
      <c r="B167" s="13">
        <v>88.005164</v>
      </c>
      <c r="C167" s="13">
        <v>76.517097</v>
      </c>
      <c r="D167">
        <v>15.539331</v>
      </c>
      <c r="E167">
        <v>3.9931183</v>
      </c>
      <c r="G167" s="13">
        <v>1988.9326</v>
      </c>
      <c r="H167" s="13">
        <v>1978.1645</v>
      </c>
      <c r="I167">
        <v>108.42064</v>
      </c>
      <c r="J167">
        <v>96.847293</v>
      </c>
      <c r="L167">
        <f t="shared" si="167"/>
        <v>88.005164</v>
      </c>
      <c r="M167">
        <f t="shared" si="167"/>
        <v>76.517097</v>
      </c>
      <c r="N167">
        <f t="shared" si="168"/>
        <v>15.539331</v>
      </c>
      <c r="O167">
        <f t="shared" si="169"/>
        <v>3.9931183</v>
      </c>
      <c r="Q167">
        <f t="shared" si="170"/>
        <v>1988.9326</v>
      </c>
      <c r="R167">
        <f t="shared" si="170"/>
        <v>1978.1645</v>
      </c>
      <c r="S167">
        <f>I167+(AS167+945)</f>
        <v>108.42064</v>
      </c>
      <c r="T167">
        <f>J167+(AS167+945)</f>
        <v>96.847293</v>
      </c>
      <c r="V167" s="7">
        <v>946.33546</v>
      </c>
      <c r="X167" s="2">
        <f t="shared" si="171"/>
        <v>-930.7961290000001</v>
      </c>
      <c r="Y167" s="2">
        <f t="shared" si="172"/>
        <v>-942.3423417</v>
      </c>
      <c r="Z167" s="2">
        <f t="shared" si="173"/>
        <v>1054.7561</v>
      </c>
      <c r="AA167" s="2">
        <f t="shared" si="174"/>
        <v>1043.182753</v>
      </c>
      <c r="AC167">
        <f t="shared" si="175"/>
        <v>46.85323535000015</v>
      </c>
      <c r="AD167">
        <f t="shared" si="176"/>
        <v>7.951573499999913</v>
      </c>
      <c r="AH167">
        <f t="shared" si="177"/>
        <v>-29.32595308400016</v>
      </c>
      <c r="AI167">
        <f t="shared" si="177"/>
        <v>-29.027968707000127</v>
      </c>
      <c r="AJ167">
        <f t="shared" si="178"/>
        <v>-33.16305060000002</v>
      </c>
      <c r="AK167">
        <f t="shared" si="178"/>
        <v>-33.63448649999998</v>
      </c>
      <c r="AM167">
        <v>945</v>
      </c>
      <c r="AN167">
        <v>-1035.2</v>
      </c>
      <c r="AO167">
        <v>76.8</v>
      </c>
      <c r="AP167">
        <v>-858.3</v>
      </c>
      <c r="AQ167">
        <v>-6.6</v>
      </c>
      <c r="AS167">
        <v>-945</v>
      </c>
      <c r="AT167">
        <v>-76.2</v>
      </c>
      <c r="AU167">
        <v>1008.6</v>
      </c>
      <c r="AV167">
        <v>96.2</v>
      </c>
      <c r="AW167">
        <v>928.6</v>
      </c>
      <c r="AY167" t="s">
        <v>101</v>
      </c>
    </row>
    <row r="168" spans="1:51" ht="16.5">
      <c r="A168" s="1">
        <v>41083</v>
      </c>
      <c r="B168" s="13">
        <v>84.903376</v>
      </c>
      <c r="C168" s="13">
        <v>74.843671</v>
      </c>
      <c r="D168">
        <v>9.6082809</v>
      </c>
      <c r="E168">
        <v>-0.4457418</v>
      </c>
      <c r="G168" s="13">
        <v>1990.5225</v>
      </c>
      <c r="H168" s="13">
        <v>1978.0948</v>
      </c>
      <c r="I168">
        <v>112.13807</v>
      </c>
      <c r="J168">
        <v>99.222984</v>
      </c>
      <c r="L168">
        <f t="shared" si="167"/>
        <v>84.903376</v>
      </c>
      <c r="M168">
        <f t="shared" si="167"/>
        <v>74.843671</v>
      </c>
      <c r="N168">
        <f t="shared" si="168"/>
        <v>9.6082809</v>
      </c>
      <c r="O168">
        <f t="shared" si="169"/>
        <v>-0.4457418</v>
      </c>
      <c r="Q168">
        <f t="shared" si="170"/>
        <v>1990.5225</v>
      </c>
      <c r="R168">
        <f t="shared" si="170"/>
        <v>1978.0948</v>
      </c>
      <c r="S168">
        <f>I168+(AS168+945)</f>
        <v>112.13807</v>
      </c>
      <c r="T168">
        <f>J168+(AS168+945)</f>
        <v>99.222984</v>
      </c>
      <c r="V168" s="7">
        <v>944.16956</v>
      </c>
      <c r="X168" s="2">
        <f t="shared" si="171"/>
        <v>-934.5612791000001</v>
      </c>
      <c r="Y168" s="2">
        <f t="shared" si="172"/>
        <v>-944.6153018</v>
      </c>
      <c r="Z168" s="2">
        <f t="shared" si="173"/>
        <v>1056.30763</v>
      </c>
      <c r="AA168" s="2">
        <f t="shared" si="174"/>
        <v>1043.392544</v>
      </c>
      <c r="AC168">
        <f t="shared" si="175"/>
        <v>49.872290450000094</v>
      </c>
      <c r="AD168">
        <f t="shared" si="176"/>
        <v>7.070912999999937</v>
      </c>
      <c r="AH168">
        <f t="shared" si="177"/>
        <v>-29.89315975600016</v>
      </c>
      <c r="AI168">
        <f t="shared" si="177"/>
        <v>-29.575626601000067</v>
      </c>
      <c r="AJ168">
        <f t="shared" si="178"/>
        <v>-33.250707499999976</v>
      </c>
      <c r="AK168">
        <f t="shared" si="178"/>
        <v>-33.35283479999998</v>
      </c>
      <c r="AM168">
        <v>945</v>
      </c>
      <c r="AN168">
        <v>-1034.3</v>
      </c>
      <c r="AO168">
        <v>75.8</v>
      </c>
      <c r="AP168">
        <v>-859.2</v>
      </c>
      <c r="AQ168">
        <v>-5.7</v>
      </c>
      <c r="AS168">
        <v>-945</v>
      </c>
      <c r="AT168">
        <v>-75.5</v>
      </c>
      <c r="AU168">
        <v>1007.8</v>
      </c>
      <c r="AV168">
        <v>95.2</v>
      </c>
      <c r="AW168">
        <v>929.2</v>
      </c>
      <c r="AY168" t="s">
        <v>98</v>
      </c>
    </row>
    <row r="169" spans="1:51" ht="16.5">
      <c r="A169" s="1">
        <v>41089</v>
      </c>
      <c r="B169" s="13">
        <v>85.420963</v>
      </c>
      <c r="C169" s="13">
        <v>74.82567</v>
      </c>
      <c r="D169">
        <v>9.9772907</v>
      </c>
      <c r="E169">
        <v>-0.37695781</v>
      </c>
      <c r="G169" s="13">
        <v>1990.2034</v>
      </c>
      <c r="H169" s="13">
        <v>1978.1879</v>
      </c>
      <c r="I169">
        <v>111.99916</v>
      </c>
      <c r="J169">
        <v>99.382145</v>
      </c>
      <c r="L169">
        <f t="shared" si="167"/>
        <v>85.420963</v>
      </c>
      <c r="M169">
        <f t="shared" si="167"/>
        <v>74.82567</v>
      </c>
      <c r="N169">
        <f t="shared" si="168"/>
        <v>9.9772907</v>
      </c>
      <c r="O169">
        <f t="shared" si="169"/>
        <v>-0.37695781</v>
      </c>
      <c r="Q169">
        <f t="shared" si="170"/>
        <v>1990.2034</v>
      </c>
      <c r="R169">
        <f t="shared" si="170"/>
        <v>1978.1879</v>
      </c>
      <c r="S169">
        <f>I169+(AS169+945)</f>
        <v>111.99916</v>
      </c>
      <c r="T169">
        <f>J169+(AS169+945)</f>
        <v>99.382145</v>
      </c>
      <c r="V169" s="7">
        <v>943.93714</v>
      </c>
      <c r="X169" s="2">
        <f t="shared" si="171"/>
        <v>-933.9598493</v>
      </c>
      <c r="Y169" s="2">
        <f t="shared" si="172"/>
        <v>-944.31409781</v>
      </c>
      <c r="Z169" s="2">
        <f t="shared" si="173"/>
        <v>1055.9363</v>
      </c>
      <c r="AA169" s="2">
        <f t="shared" si="174"/>
        <v>1043.319285</v>
      </c>
      <c r="AC169">
        <f t="shared" si="175"/>
        <v>49.42097355499999</v>
      </c>
      <c r="AD169">
        <f t="shared" si="176"/>
        <v>7.293207500000026</v>
      </c>
      <c r="AH169">
        <f t="shared" si="177"/>
        <v>-29.82536215300013</v>
      </c>
      <c r="AI169">
        <f t="shared" si="177"/>
        <v>-29.255863579999982</v>
      </c>
      <c r="AJ169">
        <f t="shared" si="178"/>
        <v>-33.29304539999998</v>
      </c>
      <c r="AK169">
        <f t="shared" si="178"/>
        <v>-33.52207989999977</v>
      </c>
      <c r="AM169">
        <v>945</v>
      </c>
      <c r="AN169">
        <v>-1034.4</v>
      </c>
      <c r="AO169">
        <v>76.2</v>
      </c>
      <c r="AP169">
        <v>-858.8</v>
      </c>
      <c r="AQ169">
        <v>-5.9</v>
      </c>
      <c r="AS169">
        <v>-945</v>
      </c>
      <c r="AT169">
        <v>-75.6</v>
      </c>
      <c r="AU169">
        <v>1008.1</v>
      </c>
      <c r="AV169">
        <v>95.6</v>
      </c>
      <c r="AW169">
        <v>929.2</v>
      </c>
      <c r="AY169" t="s">
        <v>13</v>
      </c>
    </row>
    <row r="170" spans="1:51" ht="16.5">
      <c r="A170" s="1">
        <v>41100</v>
      </c>
      <c r="B170" s="13">
        <v>87.548506</v>
      </c>
      <c r="C170" s="13">
        <v>75.27712</v>
      </c>
      <c r="D170">
        <v>12.914228</v>
      </c>
      <c r="E170">
        <v>0.47712971</v>
      </c>
      <c r="G170" s="13">
        <v>1988.8826</v>
      </c>
      <c r="H170" s="13">
        <v>1977.7296</v>
      </c>
      <c r="I170">
        <v>110.06258</v>
      </c>
      <c r="J170">
        <v>98.176484</v>
      </c>
      <c r="L170">
        <f t="shared" si="167"/>
        <v>87.548506</v>
      </c>
      <c r="M170">
        <f t="shared" si="167"/>
        <v>75.27712</v>
      </c>
      <c r="N170">
        <f t="shared" si="168"/>
        <v>12.914228</v>
      </c>
      <c r="O170">
        <f t="shared" si="169"/>
        <v>0.47712971</v>
      </c>
      <c r="Q170">
        <f t="shared" si="170"/>
        <v>1988.8826</v>
      </c>
      <c r="R170">
        <f t="shared" si="170"/>
        <v>1977.7296</v>
      </c>
      <c r="S170">
        <f>I170+(AS170+945)</f>
        <v>110.06258</v>
      </c>
      <c r="T170">
        <f>J170+(AS170+945)</f>
        <v>98.176484</v>
      </c>
      <c r="V170" s="7">
        <v>943.92466</v>
      </c>
      <c r="X170" s="2">
        <f t="shared" si="171"/>
        <v>-931.010432</v>
      </c>
      <c r="Y170" s="2">
        <f t="shared" si="172"/>
        <v>-943.44753029</v>
      </c>
      <c r="Z170" s="2">
        <f t="shared" si="173"/>
        <v>1053.98724</v>
      </c>
      <c r="AA170" s="2">
        <f t="shared" si="174"/>
        <v>1042.101144</v>
      </c>
      <c r="AC170">
        <f t="shared" si="175"/>
        <v>47.51298114500008</v>
      </c>
      <c r="AD170">
        <f t="shared" si="176"/>
        <v>8.876808000000128</v>
      </c>
      <c r="AH170">
        <f t="shared" si="177"/>
        <v>-29.06944168600012</v>
      </c>
      <c r="AI170">
        <f t="shared" si="177"/>
        <v>-28.85474101000011</v>
      </c>
      <c r="AJ170">
        <f t="shared" si="178"/>
        <v>-33.880360599999904</v>
      </c>
      <c r="AK170">
        <f t="shared" si="178"/>
        <v>-34.267713599999865</v>
      </c>
      <c r="AM170">
        <v>945</v>
      </c>
      <c r="AN170">
        <v>-1035.2</v>
      </c>
      <c r="AO170">
        <v>76.8</v>
      </c>
      <c r="AP170">
        <v>-857.9</v>
      </c>
      <c r="AQ170">
        <v>-6.7</v>
      </c>
      <c r="AS170">
        <v>-945</v>
      </c>
      <c r="AT170">
        <v>-75.8</v>
      </c>
      <c r="AU170">
        <v>1008.2</v>
      </c>
      <c r="AV170">
        <v>96.2</v>
      </c>
      <c r="AW170">
        <v>928.6</v>
      </c>
      <c r="AY170" t="s">
        <v>52</v>
      </c>
    </row>
    <row r="171" spans="1:51" ht="16.5">
      <c r="A171" s="1">
        <v>41109</v>
      </c>
      <c r="B171" s="13">
        <v>91.50769</v>
      </c>
      <c r="C171" s="13">
        <v>76.866429</v>
      </c>
      <c r="D171">
        <v>17.125738</v>
      </c>
      <c r="E171">
        <v>2.5321272</v>
      </c>
      <c r="G171" s="13">
        <v>1987.3313</v>
      </c>
      <c r="H171" s="13">
        <v>1978.3944</v>
      </c>
      <c r="I171">
        <v>108.30143</v>
      </c>
      <c r="J171">
        <v>98.750498</v>
      </c>
      <c r="L171">
        <f t="shared" si="167"/>
        <v>91.50769</v>
      </c>
      <c r="M171">
        <f t="shared" si="167"/>
        <v>76.866429</v>
      </c>
      <c r="N171">
        <f t="shared" si="168"/>
        <v>17.125738</v>
      </c>
      <c r="O171">
        <f t="shared" si="169"/>
        <v>2.5321272</v>
      </c>
      <c r="Q171">
        <f t="shared" si="170"/>
        <v>1987.3313</v>
      </c>
      <c r="R171">
        <f t="shared" si="170"/>
        <v>1978.3944</v>
      </c>
      <c r="S171">
        <f>I171</f>
        <v>108.30143</v>
      </c>
      <c r="T171">
        <f>J171</f>
        <v>98.750498</v>
      </c>
      <c r="V171" s="7">
        <v>944.31216</v>
      </c>
      <c r="X171" s="2">
        <f t="shared" si="171"/>
        <v>-927.186422</v>
      </c>
      <c r="Y171" s="2">
        <f t="shared" si="172"/>
        <v>-941.7800328</v>
      </c>
      <c r="Z171" s="2">
        <f t="shared" si="173"/>
        <v>1052.61359</v>
      </c>
      <c r="AA171" s="2">
        <f t="shared" si="174"/>
        <v>1043.0626579999998</v>
      </c>
      <c r="AC171">
        <f t="shared" si="175"/>
        <v>44.76722740000008</v>
      </c>
      <c r="AD171">
        <f t="shared" si="176"/>
        <v>9.082876000000088</v>
      </c>
      <c r="AH171">
        <f t="shared" si="177"/>
        <v>-29.327350390000106</v>
      </c>
      <c r="AI171">
        <f t="shared" si="177"/>
        <v>-28.82582109900011</v>
      </c>
      <c r="AJ171">
        <f t="shared" si="178"/>
        <v>-33.65462030000003</v>
      </c>
      <c r="AK171">
        <f t="shared" si="178"/>
        <v>-33.99160840000002</v>
      </c>
      <c r="AM171">
        <v>945</v>
      </c>
      <c r="AN171">
        <v>-1036.4</v>
      </c>
      <c r="AO171">
        <v>77.7</v>
      </c>
      <c r="AP171">
        <v>-856.6</v>
      </c>
      <c r="AQ171">
        <v>-7.1</v>
      </c>
      <c r="AS171" s="16">
        <v>-954</v>
      </c>
      <c r="AT171">
        <v>-77.4</v>
      </c>
      <c r="AU171">
        <f>1018.6-9</f>
        <v>1009.6</v>
      </c>
      <c r="AV171">
        <v>98</v>
      </c>
      <c r="AW171">
        <f>936.8-9</f>
        <v>927.8</v>
      </c>
      <c r="AY171" t="s">
        <v>52</v>
      </c>
    </row>
    <row r="172" spans="1:51" ht="16.5">
      <c r="A172" s="1">
        <v>41115</v>
      </c>
      <c r="B172" s="13">
        <v>95.450786</v>
      </c>
      <c r="C172" s="13">
        <v>78.710151</v>
      </c>
      <c r="D172">
        <v>21.971549</v>
      </c>
      <c r="E172">
        <v>21.971549</v>
      </c>
      <c r="G172" s="13">
        <v>1986.3332</v>
      </c>
      <c r="H172" s="13">
        <v>1978.6158</v>
      </c>
      <c r="I172">
        <v>106.20278</v>
      </c>
      <c r="J172">
        <v>98.207663</v>
      </c>
      <c r="L172">
        <f t="shared" si="167"/>
        <v>95.450786</v>
      </c>
      <c r="M172">
        <f t="shared" si="167"/>
        <v>78.710151</v>
      </c>
      <c r="N172">
        <f t="shared" si="168"/>
        <v>21.971549</v>
      </c>
      <c r="O172">
        <f t="shared" si="169"/>
        <v>21.971549</v>
      </c>
      <c r="Q172">
        <f t="shared" si="170"/>
        <v>1986.3332</v>
      </c>
      <c r="R172">
        <f t="shared" si="170"/>
        <v>1978.6158</v>
      </c>
      <c r="S172">
        <f aca="true" t="shared" si="179" ref="S172:S177">I172+(AS172+945)</f>
        <v>106.20278</v>
      </c>
      <c r="T172">
        <f aca="true" t="shared" si="180" ref="T172:T177">J172+(AS172+945)</f>
        <v>98.207663</v>
      </c>
      <c r="V172" s="7">
        <v>944.76585</v>
      </c>
      <c r="X172" s="2">
        <f t="shared" si="171"/>
        <v>-922.794301</v>
      </c>
      <c r="Y172" s="2">
        <f t="shared" si="172"/>
        <v>-922.794301</v>
      </c>
      <c r="Z172" s="2">
        <f t="shared" si="173"/>
        <v>1050.96863</v>
      </c>
      <c r="AA172" s="2">
        <f t="shared" si="174"/>
        <v>1042.973513</v>
      </c>
      <c r="AC172">
        <f t="shared" si="175"/>
        <v>33.07830100000007</v>
      </c>
      <c r="AD172">
        <f t="shared" si="176"/>
        <v>9.94992849999986</v>
      </c>
      <c r="AH172">
        <f t="shared" si="177"/>
        <v>-29.000561366000056</v>
      </c>
      <c r="AI172">
        <f t="shared" si="177"/>
        <v>-11.740966681000032</v>
      </c>
      <c r="AJ172">
        <f t="shared" si="178"/>
        <v>-34.27053919999992</v>
      </c>
      <c r="AK172">
        <f t="shared" si="178"/>
        <v>-34.30901680000011</v>
      </c>
      <c r="AM172">
        <v>945</v>
      </c>
      <c r="AN172">
        <v>-1037.3</v>
      </c>
      <c r="AO172">
        <v>78.7</v>
      </c>
      <c r="AP172">
        <v>-855.4</v>
      </c>
      <c r="AQ172">
        <v>-8.5</v>
      </c>
      <c r="AS172">
        <v>-945</v>
      </c>
      <c r="AT172">
        <v>-78.2</v>
      </c>
      <c r="AU172">
        <v>1010.5</v>
      </c>
      <c r="AV172">
        <v>99.1</v>
      </c>
      <c r="AW172">
        <v>926.8</v>
      </c>
      <c r="AY172" t="s">
        <v>52</v>
      </c>
    </row>
    <row r="173" spans="1:51" ht="16.5">
      <c r="A173" s="1">
        <v>41119</v>
      </c>
      <c r="B173" s="13">
        <v>98.647793</v>
      </c>
      <c r="C173" s="13">
        <v>80.405579</v>
      </c>
      <c r="D173">
        <v>25.300013</v>
      </c>
      <c r="E173">
        <v>6.7541327</v>
      </c>
      <c r="G173" s="13">
        <v>1984.5585</v>
      </c>
      <c r="H173" s="13">
        <v>1978.8164</v>
      </c>
      <c r="I173">
        <v>103.40548</v>
      </c>
      <c r="J173">
        <v>96.541421</v>
      </c>
      <c r="L173">
        <f t="shared" si="167"/>
        <v>98.647793</v>
      </c>
      <c r="M173">
        <f t="shared" si="167"/>
        <v>80.405579</v>
      </c>
      <c r="N173">
        <f t="shared" si="168"/>
        <v>25.300013</v>
      </c>
      <c r="O173">
        <f t="shared" si="169"/>
        <v>6.7541327</v>
      </c>
      <c r="Q173">
        <f t="shared" si="170"/>
        <v>1984.5585</v>
      </c>
      <c r="R173">
        <f t="shared" si="170"/>
        <v>1978.8164</v>
      </c>
      <c r="S173">
        <f t="shared" si="179"/>
        <v>103.40548</v>
      </c>
      <c r="T173">
        <f t="shared" si="180"/>
        <v>96.541421</v>
      </c>
      <c r="V173" s="7">
        <v>945.15298</v>
      </c>
      <c r="X173" s="2">
        <f t="shared" si="171"/>
        <v>-919.8529669999999</v>
      </c>
      <c r="Y173" s="2">
        <f t="shared" si="172"/>
        <v>-938.3988472999999</v>
      </c>
      <c r="Z173" s="2">
        <f t="shared" si="173"/>
        <v>1048.55846</v>
      </c>
      <c r="AA173" s="2">
        <f t="shared" si="174"/>
        <v>1041.694401</v>
      </c>
      <c r="AC173">
        <f t="shared" si="175"/>
        <v>39.409907149999924</v>
      </c>
      <c r="AD173">
        <f t="shared" si="176"/>
        <v>11.794569499999998</v>
      </c>
      <c r="AH173">
        <f t="shared" si="177"/>
        <v>-29.355341582999927</v>
      </c>
      <c r="AI173">
        <f t="shared" si="177"/>
        <v>-29.093499249000047</v>
      </c>
      <c r="AJ173">
        <f t="shared" si="178"/>
        <v>-34.85099350000007</v>
      </c>
      <c r="AK173">
        <f t="shared" si="178"/>
        <v>-35.794947399999955</v>
      </c>
      <c r="AM173">
        <v>945</v>
      </c>
      <c r="AN173">
        <v>-1038.2</v>
      </c>
      <c r="AO173">
        <v>79.6</v>
      </c>
      <c r="AP173">
        <v>-854.6</v>
      </c>
      <c r="AQ173">
        <v>-9</v>
      </c>
      <c r="AS173">
        <v>-945</v>
      </c>
      <c r="AT173">
        <v>-79</v>
      </c>
      <c r="AU173">
        <v>1011.2</v>
      </c>
      <c r="AV173">
        <v>100.2</v>
      </c>
      <c r="AW173">
        <v>925.9</v>
      </c>
      <c r="AY173" t="s">
        <v>52</v>
      </c>
    </row>
    <row r="174" spans="1:51" ht="16.5">
      <c r="A174" s="1">
        <v>41125</v>
      </c>
      <c r="B174" s="13">
        <v>106.80968</v>
      </c>
      <c r="C174" s="13">
        <v>85.267193</v>
      </c>
      <c r="D174">
        <v>34.024255</v>
      </c>
      <c r="E174">
        <v>12.057527</v>
      </c>
      <c r="G174" s="13">
        <v>1981.5327</v>
      </c>
      <c r="H174" s="13">
        <v>1979.1438</v>
      </c>
      <c r="I174">
        <v>99.358075</v>
      </c>
      <c r="J174">
        <v>96.653643</v>
      </c>
      <c r="L174">
        <f t="shared" si="167"/>
        <v>106.80968</v>
      </c>
      <c r="M174">
        <f t="shared" si="167"/>
        <v>85.267193</v>
      </c>
      <c r="N174">
        <f aca="true" t="shared" si="181" ref="N174:N191">D174+(AM174-945)</f>
        <v>34.024255</v>
      </c>
      <c r="O174">
        <f aca="true" t="shared" si="182" ref="O174:O191">E174+(AM174-945)</f>
        <v>12.057527</v>
      </c>
      <c r="Q174">
        <f t="shared" si="170"/>
        <v>1981.5327</v>
      </c>
      <c r="R174">
        <f t="shared" si="170"/>
        <v>1979.1438</v>
      </c>
      <c r="S174">
        <f t="shared" si="179"/>
        <v>99.358075</v>
      </c>
      <c r="T174">
        <f t="shared" si="180"/>
        <v>96.653643</v>
      </c>
      <c r="V174" s="7">
        <v>945.85692</v>
      </c>
      <c r="X174" s="2">
        <f t="shared" si="171"/>
        <v>-911.8326649999999</v>
      </c>
      <c r="Y174" s="2">
        <f t="shared" si="172"/>
        <v>-933.7993929999999</v>
      </c>
      <c r="Z174" s="2">
        <f t="shared" si="173"/>
        <v>1045.214995</v>
      </c>
      <c r="AA174" s="2">
        <f t="shared" si="174"/>
        <v>1042.510563</v>
      </c>
      <c r="AC174">
        <f t="shared" si="175"/>
        <v>33.10002899999989</v>
      </c>
      <c r="AD174">
        <f t="shared" si="176"/>
        <v>13.058220999999921</v>
      </c>
      <c r="AH174">
        <f t="shared" si="177"/>
        <v>-29.749945079999975</v>
      </c>
      <c r="AI174">
        <f t="shared" si="177"/>
        <v>-29.506368983000016</v>
      </c>
      <c r="AJ174">
        <f t="shared" si="178"/>
        <v>-35.074858699999936</v>
      </c>
      <c r="AK174">
        <f t="shared" si="178"/>
        <v>-35.316334799999936</v>
      </c>
      <c r="AM174">
        <v>945</v>
      </c>
      <c r="AN174">
        <v>-1039.8</v>
      </c>
      <c r="AO174">
        <v>81.3</v>
      </c>
      <c r="AP174">
        <v>-852.8</v>
      </c>
      <c r="AQ174">
        <v>-10.6</v>
      </c>
      <c r="AS174">
        <v>-945</v>
      </c>
      <c r="AT174">
        <v>-80.8</v>
      </c>
      <c r="AU174">
        <v>1013.2</v>
      </c>
      <c r="AV174">
        <v>101.9</v>
      </c>
      <c r="AW174">
        <v>924.4</v>
      </c>
      <c r="AY174" t="s">
        <v>103</v>
      </c>
    </row>
    <row r="175" spans="1:49" ht="16.5">
      <c r="A175" s="1">
        <v>41131</v>
      </c>
      <c r="B175" s="13">
        <v>119.49652</v>
      </c>
      <c r="C175" s="13">
        <v>92.390684</v>
      </c>
      <c r="D175">
        <v>48.25252</v>
      </c>
      <c r="E175">
        <v>20.40173</v>
      </c>
      <c r="G175" s="13">
        <v>1976.7323</v>
      </c>
      <c r="H175" s="13">
        <v>1979.7821</v>
      </c>
      <c r="I175">
        <v>92.128097</v>
      </c>
      <c r="J175">
        <v>95.219472</v>
      </c>
      <c r="L175">
        <f t="shared" si="167"/>
        <v>119.49652</v>
      </c>
      <c r="M175">
        <f t="shared" si="167"/>
        <v>92.390684</v>
      </c>
      <c r="N175">
        <f t="shared" si="181"/>
        <v>48.25252</v>
      </c>
      <c r="O175">
        <f t="shared" si="182"/>
        <v>20.40173</v>
      </c>
      <c r="Q175">
        <f t="shared" si="170"/>
        <v>1976.7323</v>
      </c>
      <c r="R175">
        <f t="shared" si="170"/>
        <v>1979.7821</v>
      </c>
      <c r="S175">
        <f t="shared" si="179"/>
        <v>92.128097</v>
      </c>
      <c r="T175">
        <f t="shared" si="180"/>
        <v>95.219472</v>
      </c>
      <c r="V175" s="7">
        <v>946.70316</v>
      </c>
      <c r="X175" s="2">
        <f t="shared" si="171"/>
        <v>-898.45064</v>
      </c>
      <c r="Y175" s="2">
        <f t="shared" si="172"/>
        <v>-926.30143</v>
      </c>
      <c r="Z175" s="2">
        <f t="shared" si="173"/>
        <v>1038.831257</v>
      </c>
      <c r="AA175" s="2">
        <f t="shared" si="174"/>
        <v>1041.922632</v>
      </c>
      <c r="AC175">
        <f t="shared" si="175"/>
        <v>22.660035000000047</v>
      </c>
      <c r="AD175">
        <f t="shared" si="176"/>
        <v>16.54405549999993</v>
      </c>
      <c r="AH175">
        <f t="shared" si="177"/>
        <v>-29.44805212000017</v>
      </c>
      <c r="AI175">
        <f t="shared" si="177"/>
        <v>-29.352725203999967</v>
      </c>
      <c r="AJ175">
        <f t="shared" si="178"/>
        <v>-36.50938429999985</v>
      </c>
      <c r="AK175">
        <f t="shared" si="178"/>
        <v>-36.56235309999988</v>
      </c>
      <c r="AM175">
        <v>945</v>
      </c>
      <c r="AN175">
        <v>-1042.7</v>
      </c>
      <c r="AO175">
        <v>84.2</v>
      </c>
      <c r="AP175">
        <v>-850.1</v>
      </c>
      <c r="AQ175">
        <v>-13.7</v>
      </c>
      <c r="AS175">
        <v>-945</v>
      </c>
      <c r="AT175">
        <v>-84</v>
      </c>
      <c r="AU175">
        <v>1016.2</v>
      </c>
      <c r="AV175">
        <v>104.8</v>
      </c>
      <c r="AW175">
        <v>921.5</v>
      </c>
    </row>
    <row r="176" spans="1:49" ht="16.5">
      <c r="A176" s="1">
        <v>41138</v>
      </c>
      <c r="B176" s="13">
        <v>119.64582</v>
      </c>
      <c r="C176" s="13">
        <v>92.54859</v>
      </c>
      <c r="D176">
        <v>49.373637</v>
      </c>
      <c r="E176">
        <v>21.727236</v>
      </c>
      <c r="G176" s="13">
        <v>1976.6065</v>
      </c>
      <c r="H176" s="13">
        <v>1979.5712</v>
      </c>
      <c r="I176">
        <v>91.355782</v>
      </c>
      <c r="J176">
        <v>94.517081</v>
      </c>
      <c r="L176">
        <f t="shared" si="167"/>
        <v>119.64582</v>
      </c>
      <c r="M176">
        <f t="shared" si="167"/>
        <v>92.54859</v>
      </c>
      <c r="N176">
        <f t="shared" si="181"/>
        <v>49.373637</v>
      </c>
      <c r="O176">
        <f t="shared" si="182"/>
        <v>21.727236</v>
      </c>
      <c r="Q176">
        <f t="shared" si="170"/>
        <v>1976.6065</v>
      </c>
      <c r="R176">
        <f t="shared" si="170"/>
        <v>1979.5712</v>
      </c>
      <c r="S176">
        <f t="shared" si="179"/>
        <v>91.355782</v>
      </c>
      <c r="T176">
        <f t="shared" si="180"/>
        <v>94.517081</v>
      </c>
      <c r="V176" s="7">
        <v>947.86016</v>
      </c>
      <c r="X176" s="2">
        <f t="shared" si="171"/>
        <v>-898.4865229999999</v>
      </c>
      <c r="Y176" s="2">
        <f t="shared" si="172"/>
        <v>-926.132924</v>
      </c>
      <c r="Z176" s="2">
        <f t="shared" si="173"/>
        <v>1039.215942</v>
      </c>
      <c r="AA176" s="2">
        <f t="shared" si="174"/>
        <v>1042.377241</v>
      </c>
      <c r="AC176">
        <f t="shared" si="175"/>
        <v>22.593723500000063</v>
      </c>
      <c r="AD176">
        <f t="shared" si="176"/>
        <v>16.12440849999999</v>
      </c>
      <c r="AH176">
        <f t="shared" si="177"/>
        <v>-29.637863419999917</v>
      </c>
      <c r="AI176">
        <f t="shared" si="177"/>
        <v>-29.347020290000046</v>
      </c>
      <c r="AJ176">
        <f t="shared" si="178"/>
        <v>-35.99499950000006</v>
      </c>
      <c r="AK176">
        <f t="shared" si="178"/>
        <v>-35.89030620000017</v>
      </c>
      <c r="AM176">
        <v>945</v>
      </c>
      <c r="AN176">
        <v>-1042.8</v>
      </c>
      <c r="AO176">
        <v>84.1</v>
      </c>
      <c r="AP176">
        <v>-850</v>
      </c>
      <c r="AQ176">
        <v>-13.6</v>
      </c>
      <c r="AS176">
        <v>-945</v>
      </c>
      <c r="AT176">
        <v>-83.8</v>
      </c>
      <c r="AU176">
        <v>1016.1</v>
      </c>
      <c r="AV176">
        <v>104.9</v>
      </c>
      <c r="AW176">
        <v>921.4</v>
      </c>
    </row>
    <row r="177" spans="1:55" ht="16.5">
      <c r="A177" s="1">
        <v>41151</v>
      </c>
      <c r="B177" s="13">
        <v>120.95377</v>
      </c>
      <c r="C177" s="13">
        <v>93.415352</v>
      </c>
      <c r="D177">
        <v>53.121743</v>
      </c>
      <c r="E177">
        <v>24.716259</v>
      </c>
      <c r="G177" s="13">
        <v>1976.1019</v>
      </c>
      <c r="H177" s="13">
        <v>1979.2594</v>
      </c>
      <c r="I177">
        <v>88.396815</v>
      </c>
      <c r="J177">
        <v>91.908627</v>
      </c>
      <c r="L177">
        <f t="shared" si="167"/>
        <v>120.95377</v>
      </c>
      <c r="M177">
        <f t="shared" si="167"/>
        <v>93.415352</v>
      </c>
      <c r="N177">
        <f t="shared" si="181"/>
        <v>53.121743</v>
      </c>
      <c r="O177">
        <f t="shared" si="182"/>
        <v>24.716259</v>
      </c>
      <c r="Q177">
        <f t="shared" si="170"/>
        <v>1976.1019</v>
      </c>
      <c r="R177">
        <f t="shared" si="170"/>
        <v>1979.2594</v>
      </c>
      <c r="S177">
        <f t="shared" si="179"/>
        <v>88.396815</v>
      </c>
      <c r="T177">
        <f t="shared" si="180"/>
        <v>91.908627</v>
      </c>
      <c r="V177" s="7">
        <v>950.44514</v>
      </c>
      <c r="X177" s="2">
        <f t="shared" si="171"/>
        <v>-897.323397</v>
      </c>
      <c r="Y177" s="2">
        <f t="shared" si="172"/>
        <v>-925.728881</v>
      </c>
      <c r="Z177" s="2">
        <f t="shared" si="173"/>
        <v>1038.841955</v>
      </c>
      <c r="AA177" s="2">
        <f t="shared" si="174"/>
        <v>1042.353767</v>
      </c>
      <c r="AC177">
        <f t="shared" si="175"/>
        <v>21.810139000000103</v>
      </c>
      <c r="AD177">
        <f t="shared" si="176"/>
        <v>16.323138999999774</v>
      </c>
      <c r="AH177">
        <f t="shared" si="177"/>
        <v>-29.82323387000008</v>
      </c>
      <c r="AI177">
        <f t="shared" si="177"/>
        <v>-29.836608912000088</v>
      </c>
      <c r="AJ177">
        <f t="shared" si="178"/>
        <v>-35.848743899999704</v>
      </c>
      <c r="AK177">
        <f t="shared" si="178"/>
        <v>-35.59231439999985</v>
      </c>
      <c r="AM177">
        <v>945</v>
      </c>
      <c r="AN177">
        <v>-1061.8</v>
      </c>
      <c r="AO177">
        <v>88.6</v>
      </c>
      <c r="AP177">
        <v>-868.5</v>
      </c>
      <c r="AQ177">
        <v>-9.9</v>
      </c>
      <c r="AS177">
        <v>-945</v>
      </c>
      <c r="AT177">
        <v>-100.2</v>
      </c>
      <c r="AU177">
        <v>1020</v>
      </c>
      <c r="AV177">
        <v>88.7</v>
      </c>
      <c r="AW177">
        <v>925</v>
      </c>
      <c r="AY177" s="21" t="s">
        <v>15</v>
      </c>
      <c r="AZ177" s="21"/>
      <c r="BA177" s="21"/>
      <c r="BB177" s="21"/>
      <c r="BC177" s="21"/>
    </row>
    <row r="178" spans="1:49" ht="16.5">
      <c r="A178" s="1">
        <v>41178</v>
      </c>
      <c r="B178" s="13">
        <v>122.08245</v>
      </c>
      <c r="C178" s="13">
        <v>94.009175</v>
      </c>
      <c r="D178">
        <v>61.842178</v>
      </c>
      <c r="E178">
        <v>33.033143</v>
      </c>
      <c r="G178" s="13">
        <v>1975.3177</v>
      </c>
      <c r="H178" s="13">
        <v>1979.4855</v>
      </c>
      <c r="I178">
        <v>79.892963</v>
      </c>
      <c r="J178">
        <v>84.104339</v>
      </c>
      <c r="L178">
        <f aca="true" t="shared" si="183" ref="L178:M181">B178</f>
        <v>122.08245</v>
      </c>
      <c r="M178">
        <f t="shared" si="183"/>
        <v>94.009175</v>
      </c>
      <c r="N178">
        <f t="shared" si="181"/>
        <v>61.842178</v>
      </c>
      <c r="O178">
        <f t="shared" si="182"/>
        <v>33.033143</v>
      </c>
      <c r="Q178">
        <f aca="true" t="shared" si="184" ref="Q178:R181">G178</f>
        <v>1975.3177</v>
      </c>
      <c r="R178">
        <f t="shared" si="184"/>
        <v>1979.4855</v>
      </c>
      <c r="S178">
        <f>I178+(AS178+945)</f>
        <v>79.892963</v>
      </c>
      <c r="T178">
        <f>J178+(AS178+945)</f>
        <v>84.104339</v>
      </c>
      <c r="V178" s="7">
        <v>957.15615</v>
      </c>
      <c r="X178" s="2">
        <f aca="true" t="shared" si="185" ref="X178:X197">N178-V178</f>
        <v>-895.313972</v>
      </c>
      <c r="Y178" s="2">
        <f aca="true" t="shared" si="186" ref="Y178:Y197">O178-V178</f>
        <v>-924.123007</v>
      </c>
      <c r="Z178" s="2">
        <f aca="true" t="shared" si="187" ref="Z178:Z197">S178+V178</f>
        <v>1037.049113</v>
      </c>
      <c r="AA178" s="2">
        <f aca="true" t="shared" si="188" ref="AA178:AA197">T178+V178</f>
        <v>1041.260489</v>
      </c>
      <c r="AC178">
        <f aca="true" t="shared" si="189" ref="AC178:AC191">1.56-((X178+Y178)/2-(-891.276))</f>
        <v>20.002489500000078</v>
      </c>
      <c r="AD178">
        <f aca="true" t="shared" si="190" ref="AD178:AD197">11.16-((Z178+AA178)/2-1045.761)</f>
        <v>17.766198999999833</v>
      </c>
      <c r="AH178">
        <f aca="true" t="shared" si="191" ref="AH178:AH197">(X178-1024*0.0545)-(L178-1024+7.5)*1.031</f>
        <v>-28.977477950000093</v>
      </c>
      <c r="AI178">
        <f aca="true" t="shared" si="192" ref="AI178:AI197">(Y178-1024*0.0545)-(M178-1024+7.5)*1.031</f>
        <v>-28.8429664250001</v>
      </c>
      <c r="AJ178">
        <f aca="true" t="shared" si="193" ref="AJ178:AJ197">(Z178-2048*0.0545)-(Q178-1024-15.56)*1.031+2.5</f>
        <v>-36.833075699999995</v>
      </c>
      <c r="AK178">
        <f aca="true" t="shared" si="194" ref="AK178:AK197">(AA178-2048*0.0545)-(R178-1024-15.56)*1.031+2.5</f>
        <v>-36.9187015</v>
      </c>
      <c r="AM178">
        <v>945</v>
      </c>
      <c r="AN178">
        <v>-1042.9</v>
      </c>
      <c r="AO178">
        <v>84.9</v>
      </c>
      <c r="AP178">
        <v>-849</v>
      </c>
      <c r="AQ178">
        <v>-14.2</v>
      </c>
      <c r="AS178">
        <v>-945</v>
      </c>
      <c r="AT178">
        <v>-84.2</v>
      </c>
      <c r="AU178">
        <v>1016.6</v>
      </c>
      <c r="AV178">
        <v>105.7</v>
      </c>
      <c r="AW178">
        <v>920.9</v>
      </c>
    </row>
    <row r="179" spans="1:49" ht="16.5">
      <c r="A179" s="1">
        <v>41232</v>
      </c>
      <c r="B179" s="13">
        <v>125.24484</v>
      </c>
      <c r="C179" s="13">
        <v>95.108667</v>
      </c>
      <c r="D179">
        <v>79.402101</v>
      </c>
      <c r="E179">
        <v>48.132094</v>
      </c>
      <c r="G179" s="13">
        <v>1973.8079</v>
      </c>
      <c r="H179" s="13">
        <v>1979.3925</v>
      </c>
      <c r="I179">
        <v>64.463377</v>
      </c>
      <c r="J179">
        <v>70.31188</v>
      </c>
      <c r="L179">
        <f t="shared" si="183"/>
        <v>125.24484</v>
      </c>
      <c r="M179">
        <f t="shared" si="183"/>
        <v>95.108667</v>
      </c>
      <c r="N179">
        <f t="shared" si="181"/>
        <v>79.402101</v>
      </c>
      <c r="O179">
        <f t="shared" si="182"/>
        <v>48.132094</v>
      </c>
      <c r="Q179">
        <f t="shared" si="184"/>
        <v>1973.8079</v>
      </c>
      <c r="R179">
        <f t="shared" si="184"/>
        <v>1979.3925</v>
      </c>
      <c r="S179">
        <f>I179+(AS179+945)</f>
        <v>64.463377</v>
      </c>
      <c r="T179">
        <f>J179+(AS179+945)</f>
        <v>70.31188</v>
      </c>
      <c r="V179" s="7">
        <v>971.01556</v>
      </c>
      <c r="X179" s="2">
        <f t="shared" si="185"/>
        <v>-891.613459</v>
      </c>
      <c r="Y179" s="2">
        <f t="shared" si="186"/>
        <v>-922.883466</v>
      </c>
      <c r="Z179" s="2">
        <f t="shared" si="187"/>
        <v>1035.478937</v>
      </c>
      <c r="AA179" s="2">
        <f t="shared" si="188"/>
        <v>1041.32744</v>
      </c>
      <c r="AC179">
        <f t="shared" si="189"/>
        <v>17.532462500000005</v>
      </c>
      <c r="AD179">
        <f t="shared" si="190"/>
        <v>18.517811500000025</v>
      </c>
      <c r="AH179">
        <f t="shared" si="191"/>
        <v>-28.537389040000107</v>
      </c>
      <c r="AI179">
        <f t="shared" si="192"/>
        <v>-28.73700167700008</v>
      </c>
      <c r="AJ179">
        <f t="shared" si="193"/>
        <v>-36.84664789999988</v>
      </c>
      <c r="AK179">
        <f t="shared" si="194"/>
        <v>-36.75586749999991</v>
      </c>
      <c r="AM179">
        <v>945</v>
      </c>
      <c r="AN179">
        <v>-1044.5</v>
      </c>
      <c r="AO179">
        <v>85.6</v>
      </c>
      <c r="AP179">
        <v>-848.4</v>
      </c>
      <c r="AQ179">
        <v>-15.1</v>
      </c>
      <c r="AS179">
        <v>-945</v>
      </c>
      <c r="AT179">
        <v>-85.2</v>
      </c>
      <c r="AU179">
        <v>1017.4</v>
      </c>
      <c r="AV179">
        <v>106.3</v>
      </c>
      <c r="AW179">
        <v>920</v>
      </c>
    </row>
    <row r="180" spans="1:49" ht="16.5">
      <c r="A180" s="1">
        <v>41269</v>
      </c>
      <c r="B180" s="13">
        <v>126.35893</v>
      </c>
      <c r="C180" s="13">
        <v>95.07018</v>
      </c>
      <c r="D180">
        <v>85.127661</v>
      </c>
      <c r="E180">
        <v>52.910897</v>
      </c>
      <c r="G180" s="13">
        <v>1973.1631</v>
      </c>
      <c r="H180" s="13">
        <v>1979.6707</v>
      </c>
      <c r="I180">
        <v>59.318878</v>
      </c>
      <c r="J180">
        <v>66.158881</v>
      </c>
      <c r="L180">
        <f t="shared" si="183"/>
        <v>126.35893</v>
      </c>
      <c r="M180">
        <f t="shared" si="183"/>
        <v>95.07018</v>
      </c>
      <c r="N180">
        <f t="shared" si="181"/>
        <v>85.127661</v>
      </c>
      <c r="O180">
        <f t="shared" si="182"/>
        <v>52.910897</v>
      </c>
      <c r="Q180">
        <f t="shared" si="184"/>
        <v>1973.1631</v>
      </c>
      <c r="R180">
        <f t="shared" si="184"/>
        <v>1979.6707</v>
      </c>
      <c r="S180">
        <f>I180+(AS180+945)</f>
        <v>59.318878</v>
      </c>
      <c r="T180">
        <f>J180+(AS180+945)</f>
        <v>66.158881</v>
      </c>
      <c r="V180" s="7">
        <v>975.75339</v>
      </c>
      <c r="X180" s="2">
        <f t="shared" si="185"/>
        <v>-890.625729</v>
      </c>
      <c r="Y180" s="2">
        <f t="shared" si="186"/>
        <v>-922.842493</v>
      </c>
      <c r="Z180" s="2">
        <f t="shared" si="187"/>
        <v>1035.072268</v>
      </c>
      <c r="AA180" s="2">
        <f t="shared" si="188"/>
        <v>1041.912271</v>
      </c>
      <c r="AC180">
        <f t="shared" si="189"/>
        <v>17.01811100000003</v>
      </c>
      <c r="AD180">
        <f t="shared" si="190"/>
        <v>18.428730499999947</v>
      </c>
      <c r="AH180">
        <f t="shared" si="191"/>
        <v>-28.69828583000003</v>
      </c>
      <c r="AI180">
        <f t="shared" si="192"/>
        <v>-28.656348579999985</v>
      </c>
      <c r="AJ180">
        <f t="shared" si="193"/>
        <v>-36.588528100000076</v>
      </c>
      <c r="AK180">
        <f t="shared" si="194"/>
        <v>-36.45786069999997</v>
      </c>
      <c r="AM180">
        <v>945</v>
      </c>
      <c r="AN180">
        <v>-1045.2</v>
      </c>
      <c r="AO180">
        <v>85.8</v>
      </c>
      <c r="AP180">
        <v>-847.9</v>
      </c>
      <c r="AQ180">
        <v>-15.6</v>
      </c>
      <c r="AS180">
        <v>-945</v>
      </c>
      <c r="AT180">
        <v>-86.3</v>
      </c>
      <c r="AU180">
        <v>1017.6</v>
      </c>
      <c r="AV180">
        <v>106.8</v>
      </c>
      <c r="AW180">
        <v>920.7</v>
      </c>
    </row>
    <row r="181" spans="1:49" ht="16.5">
      <c r="A181" s="1">
        <v>41289</v>
      </c>
      <c r="B181" s="13">
        <v>126.12452</v>
      </c>
      <c r="C181" s="13">
        <v>94.717835</v>
      </c>
      <c r="D181">
        <v>84.364458</v>
      </c>
      <c r="E181">
        <v>51.990436</v>
      </c>
      <c r="G181" s="13">
        <v>1973.0189</v>
      </c>
      <c r="H181" s="13">
        <v>1979.4416</v>
      </c>
      <c r="I181">
        <v>59.211335</v>
      </c>
      <c r="J181">
        <v>65.953845</v>
      </c>
      <c r="L181">
        <f t="shared" si="183"/>
        <v>126.12452</v>
      </c>
      <c r="M181">
        <f t="shared" si="183"/>
        <v>94.717835</v>
      </c>
      <c r="N181">
        <f t="shared" si="181"/>
        <v>84.364458</v>
      </c>
      <c r="O181">
        <f t="shared" si="182"/>
        <v>51.990436</v>
      </c>
      <c r="Q181">
        <f t="shared" si="184"/>
        <v>1973.0189</v>
      </c>
      <c r="R181">
        <f t="shared" si="184"/>
        <v>1979.4416</v>
      </c>
      <c r="S181">
        <f>I181+(AS181+945)</f>
        <v>59.211335</v>
      </c>
      <c r="T181">
        <f>J181+(AS181+945)</f>
        <v>65.953845</v>
      </c>
      <c r="V181" s="7">
        <v>975.5906</v>
      </c>
      <c r="X181" s="2">
        <f t="shared" si="185"/>
        <v>-891.226142</v>
      </c>
      <c r="Y181" s="2">
        <f t="shared" si="186"/>
        <v>-923.600164</v>
      </c>
      <c r="Z181" s="2">
        <f t="shared" si="187"/>
        <v>1034.801935</v>
      </c>
      <c r="AA181" s="2">
        <f t="shared" si="188"/>
        <v>1041.544445</v>
      </c>
      <c r="AC181">
        <f t="shared" si="189"/>
        <v>17.69715300000001</v>
      </c>
      <c r="AD181">
        <f t="shared" si="190"/>
        <v>18.74780999999999</v>
      </c>
      <c r="AH181">
        <f t="shared" si="191"/>
        <v>-29.057022120000056</v>
      </c>
      <c r="AI181">
        <f t="shared" si="192"/>
        <v>-29.050751885000068</v>
      </c>
      <c r="AJ181">
        <f t="shared" si="193"/>
        <v>-36.71019090000004</v>
      </c>
      <c r="AK181">
        <f t="shared" si="194"/>
        <v>-36.589484600000105</v>
      </c>
      <c r="AM181">
        <v>945</v>
      </c>
      <c r="AN181">
        <v>-1045.3</v>
      </c>
      <c r="AO181">
        <v>85.8</v>
      </c>
      <c r="AP181">
        <v>-848</v>
      </c>
      <c r="AQ181">
        <v>-15.6</v>
      </c>
      <c r="AS181">
        <v>-945</v>
      </c>
      <c r="AT181">
        <v>-86.4</v>
      </c>
      <c r="AU181">
        <v>1017.5</v>
      </c>
      <c r="AV181">
        <v>106.4</v>
      </c>
      <c r="AW181">
        <v>920.8</v>
      </c>
    </row>
    <row r="182" spans="1:49" ht="16.5">
      <c r="A182" s="1">
        <v>41295</v>
      </c>
      <c r="B182" s="13">
        <v>126.01634</v>
      </c>
      <c r="C182" s="13">
        <v>94.510354</v>
      </c>
      <c r="D182">
        <v>84.59341</v>
      </c>
      <c r="E182">
        <v>52.057488</v>
      </c>
      <c r="G182" s="13">
        <v>1972.9657</v>
      </c>
      <c r="H182" s="13">
        <v>1979.4647</v>
      </c>
      <c r="I182">
        <v>59.105687</v>
      </c>
      <c r="J182">
        <v>65.804272</v>
      </c>
      <c r="L182">
        <f aca="true" t="shared" si="195" ref="L182:L190">B182</f>
        <v>126.01634</v>
      </c>
      <c r="M182">
        <f aca="true" t="shared" si="196" ref="M182:M190">C182</f>
        <v>94.510354</v>
      </c>
      <c r="N182">
        <f t="shared" si="181"/>
        <v>84.59341</v>
      </c>
      <c r="O182">
        <f t="shared" si="182"/>
        <v>52.057488</v>
      </c>
      <c r="Q182">
        <f aca="true" t="shared" si="197" ref="Q182:Q191">G182</f>
        <v>1972.9657</v>
      </c>
      <c r="R182">
        <f aca="true" t="shared" si="198" ref="R182:R191">H182</f>
        <v>1979.4647</v>
      </c>
      <c r="S182">
        <f aca="true" t="shared" si="199" ref="S182:S197">I182+(AS182+945)</f>
        <v>59.105687</v>
      </c>
      <c r="T182">
        <f aca="true" t="shared" si="200" ref="T182:T197">J182+(AS182+945)</f>
        <v>65.804272</v>
      </c>
      <c r="V182" s="7">
        <v>975.15158</v>
      </c>
      <c r="X182" s="2">
        <f t="shared" si="185"/>
        <v>-890.55817</v>
      </c>
      <c r="Y182" s="2">
        <f t="shared" si="186"/>
        <v>-923.0940919999999</v>
      </c>
      <c r="Z182" s="2">
        <f t="shared" si="187"/>
        <v>1034.257267</v>
      </c>
      <c r="AA182" s="2">
        <f t="shared" si="188"/>
        <v>1040.955852</v>
      </c>
      <c r="AC182">
        <f t="shared" si="189"/>
        <v>17.110131000000077</v>
      </c>
      <c r="AD182">
        <f t="shared" si="190"/>
        <v>19.314440499999964</v>
      </c>
      <c r="AH182">
        <f t="shared" si="191"/>
        <v>-28.27751654000008</v>
      </c>
      <c r="AI182">
        <f t="shared" si="192"/>
        <v>-28.33076697399997</v>
      </c>
      <c r="AJ182">
        <f t="shared" si="193"/>
        <v>-37.20000970000001</v>
      </c>
      <c r="AK182">
        <f t="shared" si="194"/>
        <v>-37.201893699999914</v>
      </c>
      <c r="AM182">
        <v>945</v>
      </c>
      <c r="AN182">
        <v>-1045.7</v>
      </c>
      <c r="AO182">
        <v>85.8</v>
      </c>
      <c r="AP182">
        <v>-848.1</v>
      </c>
      <c r="AQ182">
        <v>-15.7</v>
      </c>
      <c r="AS182">
        <v>-945</v>
      </c>
      <c r="AT182">
        <v>-86.7</v>
      </c>
      <c r="AU182">
        <v>1017.6</v>
      </c>
      <c r="AV182">
        <v>106.3</v>
      </c>
      <c r="AW182">
        <v>920.7</v>
      </c>
    </row>
    <row r="183" spans="1:49" ht="16.5">
      <c r="A183" s="1">
        <v>41342</v>
      </c>
      <c r="B183" s="13">
        <v>123.02545</v>
      </c>
      <c r="C183" s="13">
        <v>93.322144</v>
      </c>
      <c r="D183">
        <v>71.457204</v>
      </c>
      <c r="E183">
        <v>41.123755</v>
      </c>
      <c r="G183" s="13">
        <v>1973.8303</v>
      </c>
      <c r="H183" s="13">
        <v>1978.0722</v>
      </c>
      <c r="I183">
        <v>69.681692</v>
      </c>
      <c r="J183">
        <v>74.977809</v>
      </c>
      <c r="L183">
        <f t="shared" si="195"/>
        <v>123.02545</v>
      </c>
      <c r="M183">
        <f t="shared" si="196"/>
        <v>93.322144</v>
      </c>
      <c r="N183">
        <f t="shared" si="181"/>
        <v>71.457204</v>
      </c>
      <c r="O183">
        <f t="shared" si="182"/>
        <v>41.123755</v>
      </c>
      <c r="Q183">
        <f t="shared" si="197"/>
        <v>1973.8303</v>
      </c>
      <c r="R183">
        <f t="shared" si="198"/>
        <v>1978.0722</v>
      </c>
      <c r="S183">
        <f t="shared" si="199"/>
        <v>69.681692</v>
      </c>
      <c r="T183">
        <f t="shared" si="200"/>
        <v>74.977809</v>
      </c>
      <c r="V183" s="7">
        <v>966.56836</v>
      </c>
      <c r="X183" s="2">
        <f t="shared" si="185"/>
        <v>-895.1111559999999</v>
      </c>
      <c r="Y183" s="2">
        <f t="shared" si="186"/>
        <v>-925.444605</v>
      </c>
      <c r="Z183" s="2">
        <f t="shared" si="187"/>
        <v>1036.2500519999999</v>
      </c>
      <c r="AA183" s="2">
        <f t="shared" si="188"/>
        <v>1041.546169</v>
      </c>
      <c r="AC183">
        <f t="shared" si="189"/>
        <v>20.561880500000083</v>
      </c>
      <c r="AD183">
        <f t="shared" si="190"/>
        <v>18.022889500000165</v>
      </c>
      <c r="AH183">
        <f t="shared" si="191"/>
        <v>-29.746894949999955</v>
      </c>
      <c r="AI183">
        <f t="shared" si="192"/>
        <v>-29.456235464000088</v>
      </c>
      <c r="AJ183">
        <f t="shared" si="193"/>
        <v>-36.0986273000002</v>
      </c>
      <c r="AK183">
        <f t="shared" si="194"/>
        <v>-35.17590920000009</v>
      </c>
      <c r="AM183">
        <v>945</v>
      </c>
      <c r="AN183">
        <v>-1044.4</v>
      </c>
      <c r="AO183">
        <v>85</v>
      </c>
      <c r="AP183">
        <v>-849.2</v>
      </c>
      <c r="AQ183">
        <v>-15.1</v>
      </c>
      <c r="AS183">
        <v>-945</v>
      </c>
      <c r="AT183">
        <v>-85.6</v>
      </c>
      <c r="AU183">
        <v>1016.6</v>
      </c>
      <c r="AV183">
        <v>105.4</v>
      </c>
      <c r="AW183">
        <v>920</v>
      </c>
    </row>
    <row r="184" spans="1:49" ht="16.5">
      <c r="A184" s="1">
        <v>41367</v>
      </c>
      <c r="B184" s="13">
        <v>120.77401</v>
      </c>
      <c r="C184" s="13">
        <v>92.563863</v>
      </c>
      <c r="D184">
        <v>62.870479</v>
      </c>
      <c r="E184">
        <v>33.756083</v>
      </c>
      <c r="G184" s="13">
        <v>1974.5801</v>
      </c>
      <c r="H184" s="13">
        <v>1978.8649</v>
      </c>
      <c r="I184">
        <v>76.682669</v>
      </c>
      <c r="J184">
        <v>81.276606</v>
      </c>
      <c r="L184">
        <f t="shared" si="195"/>
        <v>120.77401</v>
      </c>
      <c r="M184">
        <f t="shared" si="196"/>
        <v>92.563863</v>
      </c>
      <c r="N184">
        <f t="shared" si="181"/>
        <v>62.870479</v>
      </c>
      <c r="O184">
        <f t="shared" si="182"/>
        <v>33.756083</v>
      </c>
      <c r="Q184">
        <f t="shared" si="197"/>
        <v>1974.5801</v>
      </c>
      <c r="R184">
        <f t="shared" si="198"/>
        <v>1978.8649</v>
      </c>
      <c r="S184">
        <f t="shared" si="199"/>
        <v>76.682669</v>
      </c>
      <c r="T184">
        <f t="shared" si="200"/>
        <v>81.276606</v>
      </c>
      <c r="V184" s="7">
        <v>959.83116</v>
      </c>
      <c r="X184" s="2">
        <f t="shared" si="185"/>
        <v>-896.9606809999999</v>
      </c>
      <c r="Y184" s="2">
        <f t="shared" si="186"/>
        <v>-926.075077</v>
      </c>
      <c r="Z184" s="2">
        <f t="shared" si="187"/>
        <v>1036.513829</v>
      </c>
      <c r="AA184" s="2">
        <f t="shared" si="188"/>
        <v>1041.1077659999999</v>
      </c>
      <c r="AC184">
        <f t="shared" si="189"/>
        <v>21.80187900000004</v>
      </c>
      <c r="AD184">
        <f t="shared" si="190"/>
        <v>18.11020250000016</v>
      </c>
      <c r="AH184">
        <f t="shared" si="191"/>
        <v>-29.275185309999983</v>
      </c>
      <c r="AI184">
        <f t="shared" si="192"/>
        <v>-29.304919753000036</v>
      </c>
      <c r="AJ184">
        <f t="shared" si="193"/>
        <v>-36.60789409999984</v>
      </c>
      <c r="AK184">
        <f t="shared" si="194"/>
        <v>-36.43158590000019</v>
      </c>
      <c r="AM184">
        <v>945</v>
      </c>
      <c r="AN184">
        <v>-1043.8</v>
      </c>
      <c r="AO184">
        <v>84.7</v>
      </c>
      <c r="AP184">
        <v>-849.9</v>
      </c>
      <c r="AQ184">
        <v>-14.4</v>
      </c>
      <c r="AS184">
        <v>-945</v>
      </c>
      <c r="AT184">
        <v>-85.2</v>
      </c>
      <c r="AU184">
        <v>1016.5</v>
      </c>
      <c r="AV184">
        <v>104.6</v>
      </c>
      <c r="AW184">
        <v>920.5</v>
      </c>
    </row>
    <row r="185" spans="1:51" ht="16.5">
      <c r="A185" s="1">
        <v>41398</v>
      </c>
      <c r="B185" s="13">
        <v>114.58851</v>
      </c>
      <c r="C185" s="13">
        <v>90.403286</v>
      </c>
      <c r="D185">
        <v>48.270146</v>
      </c>
      <c r="E185">
        <v>23.15028</v>
      </c>
      <c r="G185" s="13">
        <v>1976.2519</v>
      </c>
      <c r="H185" s="13">
        <v>1977.3666</v>
      </c>
      <c r="I185">
        <v>88.102299</v>
      </c>
      <c r="J185">
        <v>89.122959</v>
      </c>
      <c r="L185">
        <f t="shared" si="195"/>
        <v>114.58851</v>
      </c>
      <c r="M185">
        <f t="shared" si="196"/>
        <v>90.403286</v>
      </c>
      <c r="N185">
        <f t="shared" si="181"/>
        <v>48.270146</v>
      </c>
      <c r="O185">
        <f t="shared" si="182"/>
        <v>23.15028</v>
      </c>
      <c r="Q185">
        <f t="shared" si="197"/>
        <v>1976.2519</v>
      </c>
      <c r="R185">
        <f t="shared" si="198"/>
        <v>1977.3666</v>
      </c>
      <c r="S185">
        <f t="shared" si="199"/>
        <v>88.102299</v>
      </c>
      <c r="T185">
        <f t="shared" si="200"/>
        <v>89.122959</v>
      </c>
      <c r="V185" s="7">
        <v>951.75121</v>
      </c>
      <c r="X185" s="2">
        <f t="shared" si="185"/>
        <v>-903.4810640000001</v>
      </c>
      <c r="Y185" s="2">
        <f t="shared" si="186"/>
        <v>-928.6009300000001</v>
      </c>
      <c r="Z185" s="2">
        <f t="shared" si="187"/>
        <v>1039.853509</v>
      </c>
      <c r="AA185" s="2">
        <f t="shared" si="188"/>
        <v>1040.874169</v>
      </c>
      <c r="AC185">
        <f t="shared" si="189"/>
        <v>26.324997000000106</v>
      </c>
      <c r="AD185">
        <f t="shared" si="190"/>
        <v>16.55716099999987</v>
      </c>
      <c r="AH185">
        <f t="shared" si="191"/>
        <v>-29.41831781000019</v>
      </c>
      <c r="AI185">
        <f t="shared" si="192"/>
        <v>-29.603217866000136</v>
      </c>
      <c r="AJ185">
        <f t="shared" si="193"/>
        <v>-34.991839899999945</v>
      </c>
      <c r="AK185">
        <f t="shared" si="194"/>
        <v>-35.120435600000064</v>
      </c>
      <c r="AM185">
        <v>945</v>
      </c>
      <c r="AN185">
        <v>-1041.7</v>
      </c>
      <c r="AO185">
        <v>82.9</v>
      </c>
      <c r="AP185">
        <v>-851.9</v>
      </c>
      <c r="AQ185">
        <v>-13.1</v>
      </c>
      <c r="AS185">
        <v>-945</v>
      </c>
      <c r="AT185">
        <v>-82.4</v>
      </c>
      <c r="AU185">
        <v>1014.5</v>
      </c>
      <c r="AV185">
        <v>102.5</v>
      </c>
      <c r="AW185">
        <v>922.1</v>
      </c>
      <c r="AY185" t="s">
        <v>103</v>
      </c>
    </row>
    <row r="186" spans="1:51" ht="16.5">
      <c r="A186" s="1">
        <v>41404</v>
      </c>
      <c r="B186" s="13">
        <v>103.86572</v>
      </c>
      <c r="C186" s="13">
        <v>84.620705</v>
      </c>
      <c r="D186">
        <v>35.004679</v>
      </c>
      <c r="E186">
        <v>15.585984</v>
      </c>
      <c r="G186" s="13">
        <v>1981.5612</v>
      </c>
      <c r="H186" s="13">
        <v>1976.3649</v>
      </c>
      <c r="I186">
        <v>95.620798</v>
      </c>
      <c r="J186">
        <v>90.23779</v>
      </c>
      <c r="L186">
        <f t="shared" si="195"/>
        <v>103.86572</v>
      </c>
      <c r="M186">
        <f t="shared" si="196"/>
        <v>84.620705</v>
      </c>
      <c r="N186">
        <f t="shared" si="181"/>
        <v>35.004679</v>
      </c>
      <c r="O186">
        <f t="shared" si="182"/>
        <v>15.585984</v>
      </c>
      <c r="Q186">
        <f t="shared" si="197"/>
        <v>1981.5612</v>
      </c>
      <c r="R186">
        <f t="shared" si="198"/>
        <v>1976.3649</v>
      </c>
      <c r="S186">
        <f t="shared" si="199"/>
        <v>95.620798</v>
      </c>
      <c r="T186">
        <f t="shared" si="200"/>
        <v>90.23779</v>
      </c>
      <c r="V186" s="7">
        <v>950.3956</v>
      </c>
      <c r="X186" s="2">
        <f t="shared" si="185"/>
        <v>-915.3909209999999</v>
      </c>
      <c r="Y186" s="2">
        <f t="shared" si="186"/>
        <v>-934.8096159999999</v>
      </c>
      <c r="Z186" s="2">
        <f t="shared" si="187"/>
        <v>1046.016398</v>
      </c>
      <c r="AA186" s="2">
        <f t="shared" si="188"/>
        <v>1040.63339</v>
      </c>
      <c r="AC186">
        <f t="shared" si="189"/>
        <v>35.384268499999905</v>
      </c>
      <c r="AD186">
        <f t="shared" si="190"/>
        <v>13.596106000000109</v>
      </c>
      <c r="AH186">
        <f t="shared" si="191"/>
        <v>-30.272978319999993</v>
      </c>
      <c r="AI186">
        <f t="shared" si="192"/>
        <v>-29.850062855000033</v>
      </c>
      <c r="AJ186">
        <f t="shared" si="193"/>
        <v>-34.30283920000011</v>
      </c>
      <c r="AK186">
        <f t="shared" si="194"/>
        <v>-34.32846189999998</v>
      </c>
      <c r="AM186">
        <v>945</v>
      </c>
      <c r="AN186">
        <v>-1039.1</v>
      </c>
      <c r="AO186">
        <v>80</v>
      </c>
      <c r="AP186">
        <v>-854.6</v>
      </c>
      <c r="AQ186">
        <v>-10.2</v>
      </c>
      <c r="AS186">
        <v>-945</v>
      </c>
      <c r="AT186">
        <v>-80.2</v>
      </c>
      <c r="AU186">
        <v>1011.8</v>
      </c>
      <c r="AV186">
        <v>99.9</v>
      </c>
      <c r="AW186">
        <v>924.7</v>
      </c>
      <c r="AY186" t="s">
        <v>103</v>
      </c>
    </row>
    <row r="187" spans="1:51" ht="16.5">
      <c r="A187" s="1">
        <v>41408</v>
      </c>
      <c r="B187" s="13">
        <v>98.518527</v>
      </c>
      <c r="C187" s="13">
        <v>80.539706</v>
      </c>
      <c r="D187">
        <v>29.303774</v>
      </c>
      <c r="E187">
        <v>11.05588</v>
      </c>
      <c r="G187" s="13">
        <v>1983.0045</v>
      </c>
      <c r="H187" s="13">
        <v>1976.3891</v>
      </c>
      <c r="I187">
        <v>97.97739</v>
      </c>
      <c r="J187">
        <v>91.075471</v>
      </c>
      <c r="L187">
        <f t="shared" si="195"/>
        <v>98.518527</v>
      </c>
      <c r="M187">
        <f t="shared" si="196"/>
        <v>80.539706</v>
      </c>
      <c r="N187">
        <f t="shared" si="181"/>
        <v>29.303774</v>
      </c>
      <c r="O187">
        <f t="shared" si="182"/>
        <v>11.05588</v>
      </c>
      <c r="Q187">
        <f t="shared" si="197"/>
        <v>1983.0045</v>
      </c>
      <c r="R187">
        <f t="shared" si="198"/>
        <v>1976.3891</v>
      </c>
      <c r="S187">
        <f t="shared" si="199"/>
        <v>97.97739</v>
      </c>
      <c r="T187">
        <f t="shared" si="200"/>
        <v>91.075471</v>
      </c>
      <c r="V187" s="7">
        <v>949.54715</v>
      </c>
      <c r="X187" s="2">
        <f t="shared" si="185"/>
        <v>-920.243376</v>
      </c>
      <c r="Y187" s="2">
        <f t="shared" si="186"/>
        <v>-938.49127</v>
      </c>
      <c r="Z187" s="2">
        <f t="shared" si="187"/>
        <v>1047.52454</v>
      </c>
      <c r="AA187" s="2">
        <f t="shared" si="188"/>
        <v>1040.622621</v>
      </c>
      <c r="AC187">
        <f t="shared" si="189"/>
        <v>39.65132299999999</v>
      </c>
      <c r="AD187">
        <f t="shared" si="190"/>
        <v>12.847419500000033</v>
      </c>
      <c r="AH187">
        <f t="shared" si="191"/>
        <v>-29.612477336999973</v>
      </c>
      <c r="AI187">
        <f t="shared" si="192"/>
        <v>-29.32420688600007</v>
      </c>
      <c r="AJ187">
        <f t="shared" si="193"/>
        <v>-34.28273950000005</v>
      </c>
      <c r="AK187">
        <f t="shared" si="194"/>
        <v>-34.36418110000011</v>
      </c>
      <c r="AM187">
        <v>945</v>
      </c>
      <c r="AN187">
        <v>-1038.5</v>
      </c>
      <c r="AO187">
        <v>78.8</v>
      </c>
      <c r="AP187">
        <v>-855.2</v>
      </c>
      <c r="AQ187">
        <v>-8.8</v>
      </c>
      <c r="AS187">
        <v>-945</v>
      </c>
      <c r="AT187">
        <v>-79.6</v>
      </c>
      <c r="AU187">
        <v>1010.9</v>
      </c>
      <c r="AV187">
        <v>99.2</v>
      </c>
      <c r="AW187">
        <v>926.1</v>
      </c>
      <c r="AY187" t="s">
        <v>103</v>
      </c>
    </row>
    <row r="188" spans="1:51" ht="16.5">
      <c r="A188" s="1">
        <v>41415</v>
      </c>
      <c r="B188" s="13">
        <v>93.063492</v>
      </c>
      <c r="C188" s="13">
        <v>76.713024</v>
      </c>
      <c r="D188">
        <v>22.801418</v>
      </c>
      <c r="E188">
        <v>6.1079432</v>
      </c>
      <c r="G188" s="13">
        <v>1985.412</v>
      </c>
      <c r="H188" s="13">
        <v>1976.6569</v>
      </c>
      <c r="I188">
        <v>102.47579</v>
      </c>
      <c r="J188">
        <v>93.376051</v>
      </c>
      <c r="L188">
        <f t="shared" si="195"/>
        <v>93.063492</v>
      </c>
      <c r="M188">
        <f t="shared" si="196"/>
        <v>76.713024</v>
      </c>
      <c r="N188">
        <f t="shared" si="181"/>
        <v>22.801418</v>
      </c>
      <c r="O188">
        <f t="shared" si="182"/>
        <v>6.1079432</v>
      </c>
      <c r="Q188">
        <f t="shared" si="197"/>
        <v>1985.412</v>
      </c>
      <c r="R188">
        <f t="shared" si="198"/>
        <v>1976.6569</v>
      </c>
      <c r="S188">
        <f t="shared" si="199"/>
        <v>102.47579</v>
      </c>
      <c r="T188">
        <f t="shared" si="200"/>
        <v>93.376051</v>
      </c>
      <c r="V188" s="7">
        <v>948.18074</v>
      </c>
      <c r="X188" s="2">
        <f t="shared" si="185"/>
        <v>-925.379322</v>
      </c>
      <c r="Y188" s="2">
        <f t="shared" si="186"/>
        <v>-942.0727968</v>
      </c>
      <c r="Z188" s="2">
        <f t="shared" si="187"/>
        <v>1050.65653</v>
      </c>
      <c r="AA188" s="2">
        <f t="shared" si="188"/>
        <v>1041.556791</v>
      </c>
      <c r="AC188">
        <f t="shared" si="189"/>
        <v>44.01005939999999</v>
      </c>
      <c r="AD188">
        <f t="shared" si="190"/>
        <v>10.814339499999878</v>
      </c>
      <c r="AH188">
        <f t="shared" si="191"/>
        <v>-29.124282252000057</v>
      </c>
      <c r="AI188">
        <f t="shared" si="192"/>
        <v>-28.960424544000034</v>
      </c>
      <c r="AJ188">
        <f t="shared" si="193"/>
        <v>-33.632881999999995</v>
      </c>
      <c r="AK188">
        <f t="shared" si="194"/>
        <v>-33.70611289999988</v>
      </c>
      <c r="AM188">
        <v>945</v>
      </c>
      <c r="AN188">
        <v>-1037.4</v>
      </c>
      <c r="AO188">
        <v>77.9</v>
      </c>
      <c r="AP188">
        <v>-855.9</v>
      </c>
      <c r="AQ188">
        <v>-7.8</v>
      </c>
      <c r="AS188">
        <v>-945</v>
      </c>
      <c r="AT188">
        <v>-78.8</v>
      </c>
      <c r="AU188">
        <v>1009.8</v>
      </c>
      <c r="AV188">
        <v>98.2</v>
      </c>
      <c r="AW188">
        <v>927.3</v>
      </c>
      <c r="AY188" t="s">
        <v>103</v>
      </c>
    </row>
    <row r="189" spans="1:51" ht="16.5">
      <c r="A189" s="1">
        <v>41418</v>
      </c>
      <c r="B189" s="13">
        <v>91.318107</v>
      </c>
      <c r="C189" s="13">
        <v>75.40069</v>
      </c>
      <c r="D189">
        <v>19.95816</v>
      </c>
      <c r="E189">
        <v>4.3026099</v>
      </c>
      <c r="G189" s="13">
        <v>1986.1611</v>
      </c>
      <c r="H189" s="13">
        <v>1976.6647</v>
      </c>
      <c r="I189">
        <v>104.23776</v>
      </c>
      <c r="J189">
        <v>94.254209</v>
      </c>
      <c r="L189">
        <f t="shared" si="195"/>
        <v>91.318107</v>
      </c>
      <c r="M189">
        <f t="shared" si="196"/>
        <v>75.40069</v>
      </c>
      <c r="N189">
        <f t="shared" si="181"/>
        <v>19.95816</v>
      </c>
      <c r="O189">
        <f t="shared" si="182"/>
        <v>4.3026099</v>
      </c>
      <c r="Q189">
        <f t="shared" si="197"/>
        <v>1986.1611</v>
      </c>
      <c r="R189">
        <f t="shared" si="198"/>
        <v>1976.6647</v>
      </c>
      <c r="S189">
        <f t="shared" si="199"/>
        <v>104.23776</v>
      </c>
      <c r="T189">
        <f t="shared" si="200"/>
        <v>94.254209</v>
      </c>
      <c r="V189" s="7">
        <v>947.64479</v>
      </c>
      <c r="X189" s="2">
        <f t="shared" si="185"/>
        <v>-927.6866299999999</v>
      </c>
      <c r="Y189" s="2">
        <f t="shared" si="186"/>
        <v>-943.3421801</v>
      </c>
      <c r="Z189" s="2">
        <f t="shared" si="187"/>
        <v>1051.88255</v>
      </c>
      <c r="AA189" s="2">
        <f t="shared" si="188"/>
        <v>1041.898999</v>
      </c>
      <c r="AC189">
        <f t="shared" si="189"/>
        <v>45.798405049999985</v>
      </c>
      <c r="AD189">
        <f t="shared" si="190"/>
        <v>10.030225499999833</v>
      </c>
      <c r="AH189">
        <f t="shared" si="191"/>
        <v>-29.6320983170001</v>
      </c>
      <c r="AI189">
        <f t="shared" si="192"/>
        <v>-28.87679148999996</v>
      </c>
      <c r="AJ189">
        <f t="shared" si="193"/>
        <v>-33.17918409999993</v>
      </c>
      <c r="AK189">
        <f t="shared" si="194"/>
        <v>-33.37194669999997</v>
      </c>
      <c r="AM189">
        <v>945</v>
      </c>
      <c r="AN189">
        <v>-1037.2</v>
      </c>
      <c r="AO189">
        <v>77.4</v>
      </c>
      <c r="AP189">
        <v>-856.2</v>
      </c>
      <c r="AQ189">
        <v>-7.5</v>
      </c>
      <c r="AS189">
        <v>-945</v>
      </c>
      <c r="AT189">
        <v>-78.4</v>
      </c>
      <c r="AU189">
        <v>1009.2</v>
      </c>
      <c r="AV189">
        <v>97.8</v>
      </c>
      <c r="AW189">
        <v>927.7</v>
      </c>
      <c r="AY189" t="s">
        <v>103</v>
      </c>
    </row>
    <row r="190" spans="1:51" ht="16.5">
      <c r="A190" s="1">
        <v>41441</v>
      </c>
      <c r="B190" s="13">
        <v>84.915445</v>
      </c>
      <c r="C190" s="13">
        <v>72.010536</v>
      </c>
      <c r="D190">
        <v>10.185095</v>
      </c>
      <c r="E190">
        <v>-3.0066905</v>
      </c>
      <c r="G190" s="13">
        <v>1988.8699</v>
      </c>
      <c r="H190" s="13">
        <v>1976.7149</v>
      </c>
      <c r="I190">
        <v>110.54704</v>
      </c>
      <c r="J190">
        <v>97.893139</v>
      </c>
      <c r="L190">
        <f t="shared" si="195"/>
        <v>84.915445</v>
      </c>
      <c r="M190">
        <f t="shared" si="196"/>
        <v>72.010536</v>
      </c>
      <c r="N190">
        <f t="shared" si="181"/>
        <v>10.185095</v>
      </c>
      <c r="O190">
        <f t="shared" si="182"/>
        <v>-3.0066905</v>
      </c>
      <c r="Q190">
        <f t="shared" si="197"/>
        <v>1988.8699</v>
      </c>
      <c r="R190">
        <f t="shared" si="198"/>
        <v>1976.7149</v>
      </c>
      <c r="S190">
        <f t="shared" si="199"/>
        <v>110.54704</v>
      </c>
      <c r="T190">
        <f t="shared" si="200"/>
        <v>97.893139</v>
      </c>
      <c r="V190" s="7">
        <v>944.66083</v>
      </c>
      <c r="X190" s="2">
        <f t="shared" si="185"/>
        <v>-934.475735</v>
      </c>
      <c r="Y190" s="2">
        <f t="shared" si="186"/>
        <v>-947.6675205</v>
      </c>
      <c r="Z190" s="2">
        <f t="shared" si="187"/>
        <v>1055.20787</v>
      </c>
      <c r="AA190" s="2">
        <f t="shared" si="188"/>
        <v>1042.553969</v>
      </c>
      <c r="AC190">
        <f t="shared" si="189"/>
        <v>51.35562775000011</v>
      </c>
      <c r="AD190">
        <f t="shared" si="190"/>
        <v>8.040080500000077</v>
      </c>
      <c r="AH190">
        <f t="shared" si="191"/>
        <v>-29.820058795000023</v>
      </c>
      <c r="AI190">
        <f t="shared" si="192"/>
        <v>-29.706883116000085</v>
      </c>
      <c r="AJ190">
        <f t="shared" si="193"/>
        <v>-32.64663689999986</v>
      </c>
      <c r="AK190">
        <f t="shared" si="194"/>
        <v>-32.768732899999804</v>
      </c>
      <c r="AM190">
        <v>945</v>
      </c>
      <c r="AN190">
        <v>-1035.8</v>
      </c>
      <c r="AO190">
        <v>75.8</v>
      </c>
      <c r="AP190">
        <v>-857.5</v>
      </c>
      <c r="AQ190">
        <v>-6.3</v>
      </c>
      <c r="AS190">
        <v>-945</v>
      </c>
      <c r="AT190">
        <v>-76.7</v>
      </c>
      <c r="AU190">
        <v>1007.8</v>
      </c>
      <c r="AV190">
        <v>96.8</v>
      </c>
      <c r="AW190">
        <v>928.8</v>
      </c>
      <c r="AY190" t="s">
        <v>103</v>
      </c>
    </row>
    <row r="191" spans="1:51" ht="16.5">
      <c r="A191" s="1">
        <v>41452</v>
      </c>
      <c r="B191" s="13">
        <v>85.431023</v>
      </c>
      <c r="C191" s="13">
        <v>71.93286</v>
      </c>
      <c r="D191">
        <v>9.8499096</v>
      </c>
      <c r="E191">
        <v>-3.6247543</v>
      </c>
      <c r="G191" s="13">
        <v>1989.134</v>
      </c>
      <c r="H191" s="13">
        <v>1977.3628</v>
      </c>
      <c r="I191">
        <v>110.31285</v>
      </c>
      <c r="J191">
        <v>98.137741</v>
      </c>
      <c r="L191" s="13">
        <f aca="true" t="shared" si="201" ref="L191:M217">B191</f>
        <v>85.431023</v>
      </c>
      <c r="M191" s="13">
        <f t="shared" si="201"/>
        <v>71.93286</v>
      </c>
      <c r="N191">
        <f t="shared" si="181"/>
        <v>9.8499096</v>
      </c>
      <c r="O191">
        <f t="shared" si="182"/>
        <v>-3.6247543</v>
      </c>
      <c r="Q191">
        <f t="shared" si="197"/>
        <v>1989.134</v>
      </c>
      <c r="R191">
        <f t="shared" si="198"/>
        <v>1977.3628</v>
      </c>
      <c r="S191">
        <f t="shared" si="199"/>
        <v>110.31285</v>
      </c>
      <c r="T191">
        <f t="shared" si="200"/>
        <v>98.137741</v>
      </c>
      <c r="V191" s="7">
        <v>944.00647</v>
      </c>
      <c r="X191" s="2">
        <f t="shared" si="185"/>
        <v>-934.1565604</v>
      </c>
      <c r="Y191" s="2">
        <f t="shared" si="186"/>
        <v>-947.6312243</v>
      </c>
      <c r="Z191" s="2">
        <f t="shared" si="187"/>
        <v>1054.31932</v>
      </c>
      <c r="AA191" s="2">
        <f t="shared" si="188"/>
        <v>1042.144211</v>
      </c>
      <c r="AC191">
        <f t="shared" si="189"/>
        <v>51.177892350000036</v>
      </c>
      <c r="AD191">
        <f t="shared" si="190"/>
        <v>8.689234499999802</v>
      </c>
      <c r="AH191">
        <f t="shared" si="191"/>
        <v>-30.032445112999994</v>
      </c>
      <c r="AI191">
        <f t="shared" si="192"/>
        <v>-29.590502960000094</v>
      </c>
      <c r="AJ191">
        <f t="shared" si="193"/>
        <v>-33.80747399999996</v>
      </c>
      <c r="AK191">
        <f t="shared" si="194"/>
        <v>-33.84647580000001</v>
      </c>
      <c r="AM191">
        <v>945</v>
      </c>
      <c r="AN191">
        <v>-1036.2</v>
      </c>
      <c r="AO191">
        <v>76.4</v>
      </c>
      <c r="AP191">
        <v>-857.5</v>
      </c>
      <c r="AQ191">
        <v>-6.1</v>
      </c>
      <c r="AS191">
        <v>-945</v>
      </c>
      <c r="AT191">
        <v>-77.2</v>
      </c>
      <c r="AU191">
        <v>1008.2</v>
      </c>
      <c r="AV191">
        <v>97</v>
      </c>
      <c r="AW191">
        <v>928.9</v>
      </c>
      <c r="AY191" t="s">
        <v>25</v>
      </c>
    </row>
    <row r="192" spans="1:51" ht="16.5">
      <c r="A192" s="1">
        <v>41465</v>
      </c>
      <c r="B192" s="13">
        <v>86.885629</v>
      </c>
      <c r="C192" s="13">
        <v>72.383197</v>
      </c>
      <c r="D192">
        <v>12.579086</v>
      </c>
      <c r="E192">
        <v>-2.5389771</v>
      </c>
      <c r="G192" s="13">
        <v>1988.4573</v>
      </c>
      <c r="H192" s="13">
        <v>1977.447</v>
      </c>
      <c r="I192">
        <v>109.69866</v>
      </c>
      <c r="J192">
        <v>98.497432</v>
      </c>
      <c r="L192" s="13">
        <f t="shared" si="201"/>
        <v>86.885629</v>
      </c>
      <c r="M192" s="13">
        <f t="shared" si="201"/>
        <v>72.383197</v>
      </c>
      <c r="N192">
        <f>D192</f>
        <v>12.579086</v>
      </c>
      <c r="O192">
        <f>E192</f>
        <v>-2.5389771</v>
      </c>
      <c r="Q192" s="13">
        <f aca="true" t="shared" si="202" ref="Q192:Q197">G192+(AS192+945)</f>
        <v>1988.4573</v>
      </c>
      <c r="R192" s="13">
        <f aca="true" t="shared" si="203" ref="R192:R197">H192+(AS192+945)</f>
        <v>1977.447</v>
      </c>
      <c r="S192">
        <f t="shared" si="199"/>
        <v>109.69866</v>
      </c>
      <c r="T192">
        <f t="shared" si="200"/>
        <v>98.497432</v>
      </c>
      <c r="V192" s="7">
        <v>943.91916</v>
      </c>
      <c r="X192" s="2">
        <f t="shared" si="185"/>
        <v>-931.3400740000001</v>
      </c>
      <c r="Y192" s="2">
        <f t="shared" si="186"/>
        <v>-946.4581371</v>
      </c>
      <c r="Z192" s="2">
        <f t="shared" si="187"/>
        <v>1053.61782</v>
      </c>
      <c r="AA192" s="2">
        <f t="shared" si="188"/>
        <v>1042.416592</v>
      </c>
      <c r="AC192">
        <f>1.56-((X192+Y192)/2-(-891.276))</f>
        <v>49.18310555000011</v>
      </c>
      <c r="AD192">
        <f t="shared" si="190"/>
        <v>8.90379399999998</v>
      </c>
      <c r="AH192">
        <f t="shared" si="191"/>
        <v>-28.715657499000145</v>
      </c>
      <c r="AI192">
        <f t="shared" si="192"/>
        <v>-28.881713207000075</v>
      </c>
      <c r="AJ192">
        <f t="shared" si="193"/>
        <v>-33.811296300000095</v>
      </c>
      <c r="AK192">
        <f t="shared" si="194"/>
        <v>-33.66090499999984</v>
      </c>
      <c r="AM192" s="16">
        <v>930</v>
      </c>
      <c r="AN192">
        <f>-1021.4-15</f>
        <v>-1036.4</v>
      </c>
      <c r="AO192">
        <v>76.6</v>
      </c>
      <c r="AP192">
        <f>-841.8-15</f>
        <v>-856.8</v>
      </c>
      <c r="AQ192">
        <v>-6.8</v>
      </c>
      <c r="AS192">
        <v>-945</v>
      </c>
      <c r="AT192">
        <v>-77.6</v>
      </c>
      <c r="AU192">
        <v>1008.9</v>
      </c>
      <c r="AV192">
        <v>97.8</v>
      </c>
      <c r="AW192">
        <v>928.7</v>
      </c>
      <c r="AY192" t="s">
        <v>14</v>
      </c>
    </row>
    <row r="193" spans="1:51" ht="16.5">
      <c r="A193" s="1">
        <v>41479</v>
      </c>
      <c r="B193" s="13">
        <v>93.150295</v>
      </c>
      <c r="C193" s="13">
        <v>74.911069</v>
      </c>
      <c r="D193">
        <v>18.879306</v>
      </c>
      <c r="E193">
        <v>0.4189346</v>
      </c>
      <c r="G193" s="13">
        <v>1986.0127</v>
      </c>
      <c r="H193" s="13">
        <v>1977.5295</v>
      </c>
      <c r="I193">
        <v>106.1007</v>
      </c>
      <c r="J193">
        <v>97.182453</v>
      </c>
      <c r="L193" s="13">
        <f t="shared" si="201"/>
        <v>93.150295</v>
      </c>
      <c r="M193" s="13">
        <f t="shared" si="201"/>
        <v>74.911069</v>
      </c>
      <c r="N193">
        <f aca="true" t="shared" si="204" ref="N193:N217">D193</f>
        <v>18.879306</v>
      </c>
      <c r="O193">
        <f aca="true" t="shared" si="205" ref="O193:O217">E193</f>
        <v>0.4189346</v>
      </c>
      <c r="Q193" s="13">
        <f t="shared" si="202"/>
        <v>1986.0127</v>
      </c>
      <c r="R193" s="13">
        <f t="shared" si="203"/>
        <v>1977.5295</v>
      </c>
      <c r="S193">
        <f t="shared" si="199"/>
        <v>106.1007</v>
      </c>
      <c r="T193">
        <f t="shared" si="200"/>
        <v>97.182453</v>
      </c>
      <c r="V193" s="7">
        <v>944.65822</v>
      </c>
      <c r="X193" s="2">
        <f t="shared" si="185"/>
        <v>-925.778914</v>
      </c>
      <c r="Y193" s="2">
        <f t="shared" si="186"/>
        <v>-944.2392854000001</v>
      </c>
      <c r="Z193" s="2">
        <f t="shared" si="187"/>
        <v>1050.75892</v>
      </c>
      <c r="AA193" s="2">
        <f t="shared" si="188"/>
        <v>1041.840673</v>
      </c>
      <c r="AC193">
        <f aca="true" t="shared" si="206" ref="AC193:AC217">1.56-((X193+Y193)/2-(-891.276))</f>
        <v>45.29309970000003</v>
      </c>
      <c r="AD193">
        <f t="shared" si="190"/>
        <v>10.62120350000001</v>
      </c>
      <c r="AH193">
        <f t="shared" si="191"/>
        <v>-29.613368145000095</v>
      </c>
      <c r="AI193">
        <f t="shared" si="192"/>
        <v>-29.2690975390002</v>
      </c>
      <c r="AJ193">
        <f t="shared" si="193"/>
        <v>-34.14981369999998</v>
      </c>
      <c r="AK193">
        <f t="shared" si="194"/>
        <v>-34.32188150000013</v>
      </c>
      <c r="AM193" s="16">
        <v>930</v>
      </c>
      <c r="AN193">
        <f>-1022.8-15</f>
        <v>-1037.8</v>
      </c>
      <c r="AO193">
        <v>77.8</v>
      </c>
      <c r="AP193">
        <f>-839.5-15</f>
        <v>-854.5</v>
      </c>
      <c r="AQ193">
        <v>-7.9</v>
      </c>
      <c r="AS193">
        <v>-945</v>
      </c>
      <c r="AT193">
        <v>-79.2</v>
      </c>
      <c r="AU193">
        <v>1010.1</v>
      </c>
      <c r="AV193">
        <v>99.8</v>
      </c>
      <c r="AW193">
        <v>927.2</v>
      </c>
      <c r="AY193" t="s">
        <v>52</v>
      </c>
    </row>
    <row r="194" spans="1:51" ht="16.5">
      <c r="A194" s="1">
        <v>41490</v>
      </c>
      <c r="B194" s="13">
        <v>102.72539</v>
      </c>
      <c r="C194" s="13">
        <v>79.84315</v>
      </c>
      <c r="D194">
        <v>29.787117</v>
      </c>
      <c r="E194">
        <v>6.9285382</v>
      </c>
      <c r="G194" s="13">
        <v>1982.3439</v>
      </c>
      <c r="H194" s="13">
        <v>1978.2739</v>
      </c>
      <c r="I194">
        <v>100.14396</v>
      </c>
      <c r="J194">
        <v>95.842136</v>
      </c>
      <c r="L194" s="13">
        <f t="shared" si="201"/>
        <v>102.72539</v>
      </c>
      <c r="M194" s="13">
        <f t="shared" si="201"/>
        <v>79.84315</v>
      </c>
      <c r="N194">
        <f t="shared" si="204"/>
        <v>29.787117</v>
      </c>
      <c r="O194">
        <f t="shared" si="205"/>
        <v>6.9285382</v>
      </c>
      <c r="Q194" s="13">
        <f t="shared" si="202"/>
        <v>1982.3439</v>
      </c>
      <c r="R194" s="13">
        <f t="shared" si="203"/>
        <v>1978.2739</v>
      </c>
      <c r="S194">
        <f t="shared" si="199"/>
        <v>100.14396</v>
      </c>
      <c r="T194">
        <f t="shared" si="200"/>
        <v>95.842136</v>
      </c>
      <c r="V194" s="7">
        <v>945.82381</v>
      </c>
      <c r="X194" s="2">
        <f t="shared" si="185"/>
        <v>-916.036693</v>
      </c>
      <c r="Y194" s="2">
        <f t="shared" si="186"/>
        <v>-938.8952717999999</v>
      </c>
      <c r="Z194" s="2">
        <f t="shared" si="187"/>
        <v>1045.96777</v>
      </c>
      <c r="AA194" s="2">
        <f t="shared" si="188"/>
        <v>1041.665946</v>
      </c>
      <c r="AC194">
        <f t="shared" si="206"/>
        <v>37.74998240000008</v>
      </c>
      <c r="AD194">
        <f t="shared" si="190"/>
        <v>13.104141999999829</v>
      </c>
      <c r="AH194">
        <f t="shared" si="191"/>
        <v>-29.743070090000174</v>
      </c>
      <c r="AI194">
        <f t="shared" si="192"/>
        <v>-29.010059450000085</v>
      </c>
      <c r="AJ194">
        <f t="shared" si="193"/>
        <v>-35.1584309000001</v>
      </c>
      <c r="AK194">
        <f t="shared" si="194"/>
        <v>-35.26408489999983</v>
      </c>
      <c r="AM194" s="16">
        <v>930</v>
      </c>
      <c r="AN194">
        <f>-1025.1-15</f>
        <v>-1040.1</v>
      </c>
      <c r="AO194">
        <v>80.2</v>
      </c>
      <c r="AP194">
        <f>-836.9-15</f>
        <v>-851.9</v>
      </c>
      <c r="AQ194">
        <v>-10.2</v>
      </c>
      <c r="AS194">
        <v>-945</v>
      </c>
      <c r="AT194">
        <v>-81</v>
      </c>
      <c r="AU194">
        <v>1012.4</v>
      </c>
      <c r="AV194">
        <v>102.6</v>
      </c>
      <c r="AW194">
        <v>925</v>
      </c>
      <c r="AY194" t="s">
        <v>26</v>
      </c>
    </row>
    <row r="195" spans="1:51" ht="16.5">
      <c r="A195" s="1">
        <v>41495</v>
      </c>
      <c r="B195" s="13">
        <v>113.3107</v>
      </c>
      <c r="C195" s="13">
        <v>86.079297</v>
      </c>
      <c r="D195">
        <v>40.990466</v>
      </c>
      <c r="E195">
        <v>13.130437</v>
      </c>
      <c r="G195" s="13">
        <v>1977.8124</v>
      </c>
      <c r="H195" s="13">
        <v>1978.3488</v>
      </c>
      <c r="I195">
        <v>94.212164</v>
      </c>
      <c r="J195">
        <v>94.849439</v>
      </c>
      <c r="L195" s="13">
        <f t="shared" si="201"/>
        <v>113.3107</v>
      </c>
      <c r="M195" s="13">
        <f t="shared" si="201"/>
        <v>86.079297</v>
      </c>
      <c r="N195">
        <f t="shared" si="204"/>
        <v>40.990466</v>
      </c>
      <c r="O195">
        <f t="shared" si="205"/>
        <v>13.130437</v>
      </c>
      <c r="Q195" s="13">
        <f t="shared" si="202"/>
        <v>1977.8124</v>
      </c>
      <c r="R195" s="13">
        <f t="shared" si="203"/>
        <v>1978.3488</v>
      </c>
      <c r="S195">
        <f t="shared" si="199"/>
        <v>94.212164</v>
      </c>
      <c r="T195">
        <f t="shared" si="200"/>
        <v>94.849439</v>
      </c>
      <c r="V195" s="7">
        <v>946.51438</v>
      </c>
      <c r="X195" s="2">
        <f t="shared" si="185"/>
        <v>-905.523914</v>
      </c>
      <c r="Y195" s="2">
        <f t="shared" si="186"/>
        <v>-933.3839429999999</v>
      </c>
      <c r="Z195" s="2">
        <f t="shared" si="187"/>
        <v>1040.7265439999999</v>
      </c>
      <c r="AA195" s="2">
        <f t="shared" si="188"/>
        <v>1041.363819</v>
      </c>
      <c r="AC195">
        <f t="shared" si="206"/>
        <v>29.737928500000006</v>
      </c>
      <c r="AD195">
        <f t="shared" si="190"/>
        <v>15.875818500000069</v>
      </c>
      <c r="AH195">
        <f t="shared" si="191"/>
        <v>-30.143745700000068</v>
      </c>
      <c r="AI195">
        <f t="shared" si="192"/>
        <v>-29.928198207000037</v>
      </c>
      <c r="AJ195">
        <f t="shared" si="193"/>
        <v>-35.72768040000017</v>
      </c>
      <c r="AK195">
        <f t="shared" si="194"/>
        <v>-35.643433800000025</v>
      </c>
      <c r="AM195" s="16">
        <v>930</v>
      </c>
      <c r="AN195">
        <f>-1027.6-15</f>
        <v>-1042.6</v>
      </c>
      <c r="AO195">
        <v>82.6</v>
      </c>
      <c r="AP195">
        <f>-834.7-15</f>
        <v>-849.7</v>
      </c>
      <c r="AQ195">
        <v>-12.7</v>
      </c>
      <c r="AS195">
        <v>-945</v>
      </c>
      <c r="AT195">
        <v>-83.8</v>
      </c>
      <c r="AU195">
        <v>1014.8</v>
      </c>
      <c r="AV195">
        <v>104.7</v>
      </c>
      <c r="AW195">
        <v>922.5</v>
      </c>
      <c r="AY195" t="s">
        <v>14</v>
      </c>
    </row>
    <row r="196" spans="1:49" ht="16.5">
      <c r="A196" s="1">
        <v>41500</v>
      </c>
      <c r="B196" s="13">
        <v>119.4054</v>
      </c>
      <c r="C196" s="13">
        <v>89.626346</v>
      </c>
      <c r="D196">
        <v>48.4171</v>
      </c>
      <c r="E196">
        <v>17.627952</v>
      </c>
      <c r="G196" s="13">
        <v>1975.5024</v>
      </c>
      <c r="H196" s="13">
        <v>1978.9005</v>
      </c>
      <c r="I196">
        <v>90.602785</v>
      </c>
      <c r="J196">
        <v>94.157925</v>
      </c>
      <c r="L196" s="13">
        <f t="shared" si="201"/>
        <v>119.4054</v>
      </c>
      <c r="M196" s="13">
        <f t="shared" si="201"/>
        <v>89.626346</v>
      </c>
      <c r="N196">
        <f t="shared" si="204"/>
        <v>48.4171</v>
      </c>
      <c r="O196">
        <f t="shared" si="205"/>
        <v>17.627952</v>
      </c>
      <c r="Q196" s="13">
        <f t="shared" si="202"/>
        <v>1975.5024</v>
      </c>
      <c r="R196" s="13">
        <f t="shared" si="203"/>
        <v>1978.9005</v>
      </c>
      <c r="S196">
        <f t="shared" si="199"/>
        <v>90.602785</v>
      </c>
      <c r="T196">
        <f t="shared" si="200"/>
        <v>94.157925</v>
      </c>
      <c r="V196" s="7">
        <v>947.29973</v>
      </c>
      <c r="X196" s="2">
        <f t="shared" si="185"/>
        <v>-898.88263</v>
      </c>
      <c r="Y196" s="2">
        <f t="shared" si="186"/>
        <v>-929.6717779999999</v>
      </c>
      <c r="Z196" s="2">
        <f t="shared" si="187"/>
        <v>1037.902515</v>
      </c>
      <c r="AA196" s="2">
        <f t="shared" si="188"/>
        <v>1041.457655</v>
      </c>
      <c r="AC196">
        <f t="shared" si="206"/>
        <v>24.56120400000003</v>
      </c>
      <c r="AD196">
        <f t="shared" si="190"/>
        <v>17.240915000000005</v>
      </c>
      <c r="AH196">
        <f t="shared" si="191"/>
        <v>-29.786097400000017</v>
      </c>
      <c r="AI196">
        <f t="shared" si="192"/>
        <v>-29.873040726</v>
      </c>
      <c r="AJ196">
        <f t="shared" si="193"/>
        <v>-36.170099400000026</v>
      </c>
      <c r="AK196">
        <f t="shared" si="194"/>
        <v>-36.11840050000001</v>
      </c>
      <c r="AM196" s="7">
        <v>945</v>
      </c>
      <c r="AN196">
        <v>-1044.1</v>
      </c>
      <c r="AO196">
        <v>84.4</v>
      </c>
      <c r="AP196">
        <v>-848.6</v>
      </c>
      <c r="AQ196">
        <v>-14.1</v>
      </c>
      <c r="AS196">
        <v>-945</v>
      </c>
      <c r="AT196">
        <v>-85.2</v>
      </c>
      <c r="AU196">
        <v>1016.4</v>
      </c>
      <c r="AV196">
        <v>106.2</v>
      </c>
      <c r="AW196">
        <v>921.2</v>
      </c>
    </row>
    <row r="197" spans="1:49" ht="16.5">
      <c r="A197" s="1">
        <v>41506</v>
      </c>
      <c r="B197" s="13">
        <v>120.00313</v>
      </c>
      <c r="C197" s="13">
        <v>90.172227</v>
      </c>
      <c r="D197">
        <v>50.040574</v>
      </c>
      <c r="E197">
        <v>19.111849</v>
      </c>
      <c r="G197" s="13">
        <v>1975.0203</v>
      </c>
      <c r="H197" s="13">
        <v>1978.6952</v>
      </c>
      <c r="I197">
        <v>88.796163</v>
      </c>
      <c r="J197">
        <v>92.505582</v>
      </c>
      <c r="L197" s="13">
        <f t="shared" si="201"/>
        <v>120.00313</v>
      </c>
      <c r="M197" s="13">
        <f t="shared" si="201"/>
        <v>90.172227</v>
      </c>
      <c r="N197">
        <f t="shared" si="204"/>
        <v>50.040574</v>
      </c>
      <c r="O197">
        <f t="shared" si="205"/>
        <v>19.111849</v>
      </c>
      <c r="Q197" s="13">
        <f t="shared" si="202"/>
        <v>1975.0203</v>
      </c>
      <c r="R197" s="13">
        <f t="shared" si="203"/>
        <v>1978.6952</v>
      </c>
      <c r="S197">
        <f t="shared" si="199"/>
        <v>88.796163</v>
      </c>
      <c r="T197">
        <f t="shared" si="200"/>
        <v>92.505582</v>
      </c>
      <c r="V197" s="7">
        <v>948.36032</v>
      </c>
      <c r="X197" s="2">
        <f t="shared" si="185"/>
        <v>-898.319746</v>
      </c>
      <c r="Y197" s="2">
        <f t="shared" si="186"/>
        <v>-929.248471</v>
      </c>
      <c r="Z197" s="2">
        <f t="shared" si="187"/>
        <v>1037.156483</v>
      </c>
      <c r="AA197" s="2">
        <f t="shared" si="188"/>
        <v>1040.865902</v>
      </c>
      <c r="AC197">
        <f t="shared" si="206"/>
        <v>24.068108500000047</v>
      </c>
      <c r="AD197">
        <f t="shared" si="190"/>
        <v>17.90980749999986</v>
      </c>
      <c r="AH197">
        <f t="shared" si="191"/>
        <v>-29.839473030000136</v>
      </c>
      <c r="AI197">
        <f t="shared" si="192"/>
        <v>-30.01253703700013</v>
      </c>
      <c r="AJ197">
        <f t="shared" si="193"/>
        <v>-36.41908629999989</v>
      </c>
      <c r="AK197">
        <f t="shared" si="194"/>
        <v>-36.49848920000011</v>
      </c>
      <c r="AM197" s="7">
        <v>945</v>
      </c>
      <c r="AN197">
        <v>-1044.2</v>
      </c>
      <c r="AO197">
        <v>84.3</v>
      </c>
      <c r="AP197">
        <v>-848.2</v>
      </c>
      <c r="AQ197">
        <v>-14.1</v>
      </c>
      <c r="AS197">
        <v>-945</v>
      </c>
      <c r="AT197">
        <v>-85.2</v>
      </c>
      <c r="AU197">
        <v>1016.3</v>
      </c>
      <c r="AV197">
        <v>106.4</v>
      </c>
      <c r="AW197">
        <v>921.1</v>
      </c>
    </row>
    <row r="198" spans="1:49" ht="16.5">
      <c r="A198" s="1">
        <v>41538</v>
      </c>
      <c r="B198" s="13">
        <v>121.78375</v>
      </c>
      <c r="C198" s="13">
        <v>90.971438</v>
      </c>
      <c r="D198">
        <v>60.016325</v>
      </c>
      <c r="E198">
        <v>28.274728</v>
      </c>
      <c r="G198" s="13">
        <v>1974.3825</v>
      </c>
      <c r="H198" s="13">
        <v>1978.7726</v>
      </c>
      <c r="I198">
        <v>80.483173</v>
      </c>
      <c r="J198">
        <v>85.014614</v>
      </c>
      <c r="L198" s="13">
        <f t="shared" si="201"/>
        <v>121.78375</v>
      </c>
      <c r="M198" s="13">
        <f t="shared" si="201"/>
        <v>90.971438</v>
      </c>
      <c r="N198">
        <f t="shared" si="204"/>
        <v>60.016325</v>
      </c>
      <c r="O198">
        <f t="shared" si="205"/>
        <v>28.274728</v>
      </c>
      <c r="Q198" s="13">
        <f aca="true" t="shared" si="207" ref="Q198:Q217">G198+(AS198+945)</f>
        <v>1974.3825</v>
      </c>
      <c r="R198" s="13">
        <f aca="true" t="shared" si="208" ref="R198:R217">H198+(AS198+945)</f>
        <v>1978.7726</v>
      </c>
      <c r="S198">
        <f aca="true" t="shared" si="209" ref="S198:S217">I198+(AS198+945)</f>
        <v>80.483173</v>
      </c>
      <c r="T198">
        <f aca="true" t="shared" si="210" ref="T198:T217">J198+(AS198+945)</f>
        <v>85.014614</v>
      </c>
      <c r="V198" s="7">
        <v>955.74955</v>
      </c>
      <c r="X198" s="2">
        <f aca="true" t="shared" si="211" ref="X198:X207">N198-V198</f>
        <v>-895.733225</v>
      </c>
      <c r="Y198" s="2">
        <f aca="true" t="shared" si="212" ref="Y198:Y207">O198-V198</f>
        <v>-927.474822</v>
      </c>
      <c r="Z198" s="2">
        <f aca="true" t="shared" si="213" ref="Z198:Z217">S198+V198</f>
        <v>1036.232723</v>
      </c>
      <c r="AA198" s="2">
        <f aca="true" t="shared" si="214" ref="AA198:AA217">T198+V198</f>
        <v>1040.764164</v>
      </c>
      <c r="AC198">
        <f t="shared" si="206"/>
        <v>21.888023500000084</v>
      </c>
      <c r="AD198">
        <f aca="true" t="shared" si="215" ref="AD198:AD217">11.16-((Z198+AA198)/2-1045.761)</f>
        <v>18.422556499999846</v>
      </c>
      <c r="AH198">
        <f aca="true" t="shared" si="216" ref="AH198:AI207">(X198-1024*0.0545)-(L198-1024+7.5)*1.031</f>
        <v>-29.088771250000036</v>
      </c>
      <c r="AI198">
        <f t="shared" si="216"/>
        <v>-29.062874578000105</v>
      </c>
      <c r="AJ198">
        <f aca="true" t="shared" si="217" ref="AJ198:AK217">(Z198-2048*0.0545)-(Q198-1024-15.56)*1.031+2.5</f>
        <v>-36.685274499999764</v>
      </c>
      <c r="AK198">
        <f t="shared" si="217"/>
        <v>-36.68002660000002</v>
      </c>
      <c r="AM198" s="7">
        <v>945</v>
      </c>
      <c r="AN198">
        <v>-1044.4</v>
      </c>
      <c r="AO198">
        <v>84.9</v>
      </c>
      <c r="AP198">
        <v>-847.8</v>
      </c>
      <c r="AQ198">
        <v>-14.4</v>
      </c>
      <c r="AS198">
        <v>-945</v>
      </c>
      <c r="AT198">
        <v>-85.7</v>
      </c>
      <c r="AU198">
        <v>1016.8</v>
      </c>
      <c r="AV198">
        <v>106.8</v>
      </c>
      <c r="AW198">
        <v>920.8</v>
      </c>
    </row>
    <row r="199" spans="1:49" ht="16.5">
      <c r="A199" s="1">
        <v>41578</v>
      </c>
      <c r="B199" s="13">
        <v>123.89882</v>
      </c>
      <c r="C199" s="13">
        <v>91.813311</v>
      </c>
      <c r="D199">
        <v>72.92246</v>
      </c>
      <c r="E199">
        <v>39.979978</v>
      </c>
      <c r="G199" s="13">
        <v>1973.0592</v>
      </c>
      <c r="H199" s="13">
        <v>1978.9046</v>
      </c>
      <c r="I199">
        <v>68.138184</v>
      </c>
      <c r="J199">
        <v>73.998872</v>
      </c>
      <c r="L199" s="13">
        <f t="shared" si="201"/>
        <v>123.89882</v>
      </c>
      <c r="M199" s="13">
        <f t="shared" si="201"/>
        <v>91.813311</v>
      </c>
      <c r="N199">
        <f t="shared" si="204"/>
        <v>72.92246</v>
      </c>
      <c r="O199">
        <f t="shared" si="205"/>
        <v>39.979978</v>
      </c>
      <c r="Q199" s="13">
        <f t="shared" si="207"/>
        <v>1973.0592</v>
      </c>
      <c r="R199" s="13">
        <f t="shared" si="208"/>
        <v>1978.9046</v>
      </c>
      <c r="S199">
        <f t="shared" si="209"/>
        <v>68.138184</v>
      </c>
      <c r="T199">
        <f t="shared" si="210"/>
        <v>73.998872</v>
      </c>
      <c r="V199" s="7">
        <v>966.56014</v>
      </c>
      <c r="X199" s="2">
        <f t="shared" si="211"/>
        <v>-893.63768</v>
      </c>
      <c r="Y199" s="2">
        <f t="shared" si="212"/>
        <v>-926.5801620000001</v>
      </c>
      <c r="Z199" s="2">
        <f t="shared" si="213"/>
        <v>1034.698324</v>
      </c>
      <c r="AA199" s="2">
        <f t="shared" si="214"/>
        <v>1040.5590120000002</v>
      </c>
      <c r="AC199">
        <f t="shared" si="206"/>
        <v>20.392921000000054</v>
      </c>
      <c r="AD199">
        <f t="shared" si="215"/>
        <v>19.292331999999906</v>
      </c>
      <c r="AH199">
        <f t="shared" si="216"/>
        <v>-29.17386342000009</v>
      </c>
      <c r="AI199">
        <f t="shared" si="216"/>
        <v>-29.036185641000202</v>
      </c>
      <c r="AJ199">
        <f t="shared" si="217"/>
        <v>-36.85535119999997</v>
      </c>
      <c r="AK199">
        <f t="shared" si="217"/>
        <v>-37.021270599999866</v>
      </c>
      <c r="AM199" s="7">
        <v>945</v>
      </c>
      <c r="AN199">
        <v>-1045</v>
      </c>
      <c r="AO199">
        <v>85.7</v>
      </c>
      <c r="AP199">
        <v>-847</v>
      </c>
      <c r="AQ199">
        <v>-15</v>
      </c>
      <c r="AS199">
        <v>-945</v>
      </c>
      <c r="AT199">
        <v>-86.4</v>
      </c>
      <c r="AU199">
        <v>1017.5</v>
      </c>
      <c r="AV199">
        <v>107.2</v>
      </c>
      <c r="AW199">
        <v>920</v>
      </c>
    </row>
    <row r="200" spans="1:49" ht="16.5">
      <c r="A200" s="1">
        <v>41607</v>
      </c>
      <c r="B200" s="13">
        <v>125.55418</v>
      </c>
      <c r="C200" s="13">
        <v>92.397849</v>
      </c>
      <c r="D200">
        <v>80.551136</v>
      </c>
      <c r="E200">
        <v>46.344023</v>
      </c>
      <c r="G200" s="13">
        <v>1972.4786</v>
      </c>
      <c r="H200" s="13">
        <v>1978.771</v>
      </c>
      <c r="I200">
        <v>61.480422</v>
      </c>
      <c r="J200">
        <v>68.239112</v>
      </c>
      <c r="L200" s="13">
        <f t="shared" si="201"/>
        <v>125.55418</v>
      </c>
      <c r="M200" s="13">
        <f t="shared" si="201"/>
        <v>92.397849</v>
      </c>
      <c r="N200">
        <f t="shared" si="204"/>
        <v>80.551136</v>
      </c>
      <c r="O200">
        <f t="shared" si="205"/>
        <v>46.344023</v>
      </c>
      <c r="Q200" s="13">
        <f t="shared" si="207"/>
        <v>1972.4786</v>
      </c>
      <c r="R200" s="13">
        <f t="shared" si="208"/>
        <v>1978.771</v>
      </c>
      <c r="S200">
        <f t="shared" si="209"/>
        <v>61.480422</v>
      </c>
      <c r="T200">
        <f t="shared" si="210"/>
        <v>68.239112</v>
      </c>
      <c r="V200" s="7">
        <v>972.82719</v>
      </c>
      <c r="X200" s="2">
        <f t="shared" si="211"/>
        <v>-892.2760539999999</v>
      </c>
      <c r="Y200" s="2">
        <f t="shared" si="212"/>
        <v>-926.483167</v>
      </c>
      <c r="Z200" s="2">
        <f t="shared" si="213"/>
        <v>1034.307612</v>
      </c>
      <c r="AA200" s="2">
        <f t="shared" si="214"/>
        <v>1041.066302</v>
      </c>
      <c r="AC200">
        <f t="shared" si="206"/>
        <v>19.663610499999944</v>
      </c>
      <c r="AD200">
        <f t="shared" si="215"/>
        <v>19.234043000000074</v>
      </c>
      <c r="AH200">
        <f t="shared" si="216"/>
        <v>-29.518913580000003</v>
      </c>
      <c r="AI200">
        <f t="shared" si="216"/>
        <v>-29.541849318999994</v>
      </c>
      <c r="AJ200">
        <f t="shared" si="217"/>
        <v>-36.64746459999981</v>
      </c>
      <c r="AK200">
        <f t="shared" si="217"/>
        <v>-36.37623899999994</v>
      </c>
      <c r="AM200" s="7">
        <v>945</v>
      </c>
      <c r="AN200">
        <v>-1046.2</v>
      </c>
      <c r="AO200">
        <v>85.8</v>
      </c>
      <c r="AP200">
        <v>-847.9</v>
      </c>
      <c r="AQ200">
        <v>-15.4</v>
      </c>
      <c r="AS200">
        <v>-945</v>
      </c>
      <c r="AT200">
        <v>-87.3</v>
      </c>
      <c r="AU200">
        <v>1017.8</v>
      </c>
      <c r="AV200">
        <v>107.4</v>
      </c>
      <c r="AW200">
        <v>919.6</v>
      </c>
    </row>
    <row r="201" spans="1:49" ht="16.5">
      <c r="A201" s="1">
        <v>41635</v>
      </c>
      <c r="B201" s="13">
        <v>126.10196</v>
      </c>
      <c r="C201" s="13">
        <v>92.34696</v>
      </c>
      <c r="D201">
        <v>84.530334</v>
      </c>
      <c r="E201">
        <v>49.574837</v>
      </c>
      <c r="G201" s="13">
        <v>1972.1549</v>
      </c>
      <c r="H201" s="13">
        <v>1979.157</v>
      </c>
      <c r="I201">
        <v>57.716809</v>
      </c>
      <c r="J201">
        <v>64.702799</v>
      </c>
      <c r="L201" s="13">
        <f t="shared" si="201"/>
        <v>126.10196</v>
      </c>
      <c r="M201" s="13">
        <f t="shared" si="201"/>
        <v>92.34696</v>
      </c>
      <c r="N201">
        <f t="shared" si="204"/>
        <v>84.530334</v>
      </c>
      <c r="O201">
        <f t="shared" si="205"/>
        <v>49.574837</v>
      </c>
      <c r="Q201" s="13">
        <f t="shared" si="207"/>
        <v>1972.1549</v>
      </c>
      <c r="R201" s="13">
        <f t="shared" si="208"/>
        <v>1979.157</v>
      </c>
      <c r="S201">
        <f t="shared" si="209"/>
        <v>57.716809</v>
      </c>
      <c r="T201">
        <f t="shared" si="210"/>
        <v>64.702799</v>
      </c>
      <c r="V201" s="7">
        <v>975.78297</v>
      </c>
      <c r="X201" s="2">
        <f t="shared" si="211"/>
        <v>-891.2526359999999</v>
      </c>
      <c r="Y201" s="2">
        <f t="shared" si="212"/>
        <v>-926.208133</v>
      </c>
      <c r="Z201" s="2">
        <f t="shared" si="213"/>
        <v>1033.499779</v>
      </c>
      <c r="AA201" s="2">
        <f t="shared" si="214"/>
        <v>1040.485769</v>
      </c>
      <c r="AC201">
        <f t="shared" si="206"/>
        <v>19.014384499999945</v>
      </c>
      <c r="AD201">
        <f t="shared" si="215"/>
        <v>19.92822600000014</v>
      </c>
      <c r="AH201">
        <f t="shared" si="216"/>
        <v>-29.060256760000016</v>
      </c>
      <c r="AI201">
        <f t="shared" si="216"/>
        <v>-29.214348760000007</v>
      </c>
      <c r="AJ201">
        <f t="shared" si="217"/>
        <v>-37.12156289999996</v>
      </c>
      <c r="AK201">
        <f t="shared" si="217"/>
        <v>-37.354738</v>
      </c>
      <c r="AM201" s="7">
        <v>945</v>
      </c>
      <c r="AN201">
        <v>-1046.3</v>
      </c>
      <c r="AO201">
        <v>86.2</v>
      </c>
      <c r="AP201">
        <v>-846.7</v>
      </c>
      <c r="AQ201">
        <v>-15.4</v>
      </c>
      <c r="AS201">
        <v>-945</v>
      </c>
      <c r="AT201">
        <v>-87.8</v>
      </c>
      <c r="AU201">
        <v>1017.8</v>
      </c>
      <c r="AV201">
        <v>107.8</v>
      </c>
      <c r="AW201">
        <v>919.2</v>
      </c>
    </row>
    <row r="202" spans="1:49" ht="16.5">
      <c r="A202" s="1">
        <v>41663</v>
      </c>
      <c r="B202" s="13">
        <v>125.27162</v>
      </c>
      <c r="C202" s="13">
        <v>91.626736</v>
      </c>
      <c r="D202">
        <v>82.767138</v>
      </c>
      <c r="E202">
        <v>47.902839</v>
      </c>
      <c r="G202" s="13">
        <v>1972.1758</v>
      </c>
      <c r="H202" s="13">
        <v>1978.9239</v>
      </c>
      <c r="I202">
        <v>58.898155</v>
      </c>
      <c r="J202">
        <v>65.830914</v>
      </c>
      <c r="L202" s="13">
        <f t="shared" si="201"/>
        <v>125.27162</v>
      </c>
      <c r="M202" s="13">
        <f t="shared" si="201"/>
        <v>91.626736</v>
      </c>
      <c r="N202">
        <f t="shared" si="204"/>
        <v>82.767138</v>
      </c>
      <c r="O202">
        <f t="shared" si="205"/>
        <v>47.902839</v>
      </c>
      <c r="Q202" s="13">
        <f t="shared" si="207"/>
        <v>1972.1758</v>
      </c>
      <c r="R202" s="13">
        <f t="shared" si="208"/>
        <v>1978.9239</v>
      </c>
      <c r="S202">
        <f t="shared" si="209"/>
        <v>58.898155</v>
      </c>
      <c r="T202">
        <f t="shared" si="210"/>
        <v>65.830914</v>
      </c>
      <c r="V202" s="7">
        <v>974.89288</v>
      </c>
      <c r="X202" s="2">
        <f t="shared" si="211"/>
        <v>-892.125742</v>
      </c>
      <c r="Y202" s="2">
        <f t="shared" si="212"/>
        <v>-926.990041</v>
      </c>
      <c r="Z202" s="2">
        <f t="shared" si="213"/>
        <v>1033.791035</v>
      </c>
      <c r="AA202" s="2">
        <f t="shared" si="214"/>
        <v>1040.723794</v>
      </c>
      <c r="AC202">
        <f t="shared" si="206"/>
        <v>19.841891500000028</v>
      </c>
      <c r="AD202">
        <f t="shared" si="215"/>
        <v>19.6635855000001</v>
      </c>
      <c r="AH202">
        <f t="shared" si="216"/>
        <v>-29.07728222000003</v>
      </c>
      <c r="AI202">
        <f t="shared" si="216"/>
        <v>-29.25370581599998</v>
      </c>
      <c r="AJ202">
        <f t="shared" si="217"/>
        <v>-36.851854799999956</v>
      </c>
      <c r="AK202">
        <f t="shared" si="217"/>
        <v>-36.87638689999994</v>
      </c>
      <c r="AM202" s="7">
        <v>945</v>
      </c>
      <c r="AN202">
        <v>-1046.7</v>
      </c>
      <c r="AO202">
        <v>85.6</v>
      </c>
      <c r="AP202">
        <v>-847</v>
      </c>
      <c r="AQ202">
        <v>-15.7</v>
      </c>
      <c r="AS202">
        <v>-945</v>
      </c>
      <c r="AT202">
        <v>-88.2</v>
      </c>
      <c r="AU202">
        <v>1017.9</v>
      </c>
      <c r="AV202">
        <v>107.8</v>
      </c>
      <c r="AW202">
        <v>919.4</v>
      </c>
    </row>
    <row r="203" spans="1:49" ht="16.5">
      <c r="A203" s="1">
        <v>41695</v>
      </c>
      <c r="B203" s="13">
        <v>123.80111</v>
      </c>
      <c r="C203">
        <v>91.001496</v>
      </c>
      <c r="D203">
        <v>75.328522</v>
      </c>
      <c r="E203">
        <v>41.613909</v>
      </c>
      <c r="G203" s="13">
        <v>1973.1164</v>
      </c>
      <c r="H203" s="13">
        <v>1978.6576</v>
      </c>
      <c r="I203">
        <v>65.62332</v>
      </c>
      <c r="J203">
        <v>71.560776</v>
      </c>
      <c r="L203" s="13">
        <f t="shared" si="201"/>
        <v>123.80111</v>
      </c>
      <c r="M203" s="13">
        <f t="shared" si="201"/>
        <v>91.001496</v>
      </c>
      <c r="N203">
        <f t="shared" si="204"/>
        <v>75.328522</v>
      </c>
      <c r="O203">
        <f t="shared" si="205"/>
        <v>41.613909</v>
      </c>
      <c r="Q203" s="13">
        <f t="shared" si="207"/>
        <v>1973.1164</v>
      </c>
      <c r="R203" s="13">
        <f t="shared" si="208"/>
        <v>1978.6576</v>
      </c>
      <c r="S203">
        <f t="shared" si="209"/>
        <v>65.62332</v>
      </c>
      <c r="T203">
        <f t="shared" si="210"/>
        <v>71.560776</v>
      </c>
      <c r="V203" s="7">
        <v>969.5199</v>
      </c>
      <c r="X203" s="2">
        <f t="shared" si="211"/>
        <v>-894.191378</v>
      </c>
      <c r="Y203" s="2">
        <f t="shared" si="212"/>
        <v>-927.905991</v>
      </c>
      <c r="Z203" s="2">
        <f t="shared" si="213"/>
        <v>1035.14322</v>
      </c>
      <c r="AA203" s="2">
        <f t="shared" si="214"/>
        <v>1041.080676</v>
      </c>
      <c r="AC203">
        <f t="shared" si="206"/>
        <v>21.33268450000008</v>
      </c>
      <c r="AD203">
        <f t="shared" si="215"/>
        <v>18.809051999999983</v>
      </c>
      <c r="AH203">
        <f t="shared" si="216"/>
        <v>-29.626822410000045</v>
      </c>
      <c r="AI203">
        <f t="shared" si="216"/>
        <v>-29.52503337600001</v>
      </c>
      <c r="AJ203">
        <f t="shared" si="217"/>
        <v>-36.4694284000002</v>
      </c>
      <c r="AK203">
        <f t="shared" si="217"/>
        <v>-36.24494959999993</v>
      </c>
      <c r="AM203" s="7">
        <v>945</v>
      </c>
      <c r="AN203">
        <v>-1046.2</v>
      </c>
      <c r="AO203">
        <v>85.3</v>
      </c>
      <c r="AP203">
        <v>-847.3</v>
      </c>
      <c r="AQ203">
        <v>-15.3</v>
      </c>
      <c r="AS203">
        <v>-945</v>
      </c>
      <c r="AT203">
        <v>-87.5</v>
      </c>
      <c r="AU203">
        <v>1017.1</v>
      </c>
      <c r="AV203">
        <v>107.1</v>
      </c>
      <c r="AW203">
        <v>919.6</v>
      </c>
    </row>
    <row r="204" spans="1:49" ht="16.5">
      <c r="A204" s="1">
        <v>41723</v>
      </c>
      <c r="B204" s="13">
        <v>121.19086</v>
      </c>
      <c r="C204" s="13">
        <v>90.092232</v>
      </c>
      <c r="D204">
        <v>65.781664</v>
      </c>
      <c r="E204">
        <v>33.695423</v>
      </c>
      <c r="G204" s="13">
        <v>1973.3494</v>
      </c>
      <c r="H204" s="13">
        <v>1978.34</v>
      </c>
      <c r="I204">
        <v>73.353861</v>
      </c>
      <c r="J204">
        <v>78.334044</v>
      </c>
      <c r="L204" s="13">
        <f t="shared" si="201"/>
        <v>121.19086</v>
      </c>
      <c r="M204" s="13">
        <f t="shared" si="201"/>
        <v>90.092232</v>
      </c>
      <c r="N204">
        <f t="shared" si="204"/>
        <v>65.781664</v>
      </c>
      <c r="O204">
        <f t="shared" si="205"/>
        <v>33.695423</v>
      </c>
      <c r="Q204" s="13">
        <f t="shared" si="207"/>
        <v>1973.3494</v>
      </c>
      <c r="R204" s="13">
        <f t="shared" si="208"/>
        <v>1978.34</v>
      </c>
      <c r="S204">
        <f t="shared" si="209"/>
        <v>73.353861</v>
      </c>
      <c r="T204">
        <f t="shared" si="210"/>
        <v>78.334044</v>
      </c>
      <c r="V204" s="7">
        <v>962.38247</v>
      </c>
      <c r="X204" s="2">
        <f t="shared" si="211"/>
        <v>-896.600806</v>
      </c>
      <c r="Y204" s="2">
        <f t="shared" si="212"/>
        <v>-928.687047</v>
      </c>
      <c r="Z204" s="2">
        <f t="shared" si="213"/>
        <v>1035.736331</v>
      </c>
      <c r="AA204" s="2">
        <f t="shared" si="214"/>
        <v>1040.716514</v>
      </c>
      <c r="AC204">
        <f t="shared" si="206"/>
        <v>22.927926500000066</v>
      </c>
      <c r="AD204">
        <f t="shared" si="215"/>
        <v>18.69457750000007</v>
      </c>
      <c r="AH204">
        <f t="shared" si="216"/>
        <v>-29.345082660000116</v>
      </c>
      <c r="AI204">
        <f t="shared" si="216"/>
        <v>-29.36863819200005</v>
      </c>
      <c r="AJ204">
        <f t="shared" si="217"/>
        <v>-36.11654039999996</v>
      </c>
      <c r="AK204">
        <f t="shared" si="217"/>
        <v>-36.28166599999997</v>
      </c>
      <c r="AM204" s="7">
        <v>945</v>
      </c>
      <c r="AN204">
        <v>-1045.4</v>
      </c>
      <c r="AO204">
        <v>84.9</v>
      </c>
      <c r="AP204">
        <v>-848.4</v>
      </c>
      <c r="AQ204">
        <v>-14.9</v>
      </c>
      <c r="AS204">
        <v>-945</v>
      </c>
      <c r="AT204">
        <v>-86.8</v>
      </c>
      <c r="AU204">
        <v>1016.9</v>
      </c>
      <c r="AV204">
        <v>106</v>
      </c>
      <c r="AW204">
        <v>920.2</v>
      </c>
    </row>
    <row r="205" spans="1:49" ht="16.5">
      <c r="A205" s="1">
        <v>41754</v>
      </c>
      <c r="B205" s="13">
        <v>119.06696</v>
      </c>
      <c r="C205" s="13">
        <v>89.471773</v>
      </c>
      <c r="D205">
        <v>54.58023</v>
      </c>
      <c r="E205">
        <v>24.068242</v>
      </c>
      <c r="G205" s="13">
        <v>1973.8774</v>
      </c>
      <c r="H205" s="13">
        <v>1977.519</v>
      </c>
      <c r="I205">
        <v>82.537054</v>
      </c>
      <c r="J205">
        <v>86.432659</v>
      </c>
      <c r="L205" s="13">
        <f t="shared" si="201"/>
        <v>119.06696</v>
      </c>
      <c r="M205" s="13">
        <f t="shared" si="201"/>
        <v>89.471773</v>
      </c>
      <c r="N205">
        <f t="shared" si="204"/>
        <v>54.58023</v>
      </c>
      <c r="O205">
        <f t="shared" si="205"/>
        <v>24.068242</v>
      </c>
      <c r="Q205" s="13">
        <f t="shared" si="207"/>
        <v>1973.8774</v>
      </c>
      <c r="R205" s="13">
        <f t="shared" si="208"/>
        <v>1977.519</v>
      </c>
      <c r="S205">
        <f t="shared" si="209"/>
        <v>82.537054</v>
      </c>
      <c r="T205">
        <f t="shared" si="210"/>
        <v>86.432659</v>
      </c>
      <c r="V205" s="7">
        <v>954.01118</v>
      </c>
      <c r="X205" s="2">
        <f t="shared" si="211"/>
        <v>-899.4309499999999</v>
      </c>
      <c r="Y205" s="2">
        <f t="shared" si="212"/>
        <v>-929.9429379999999</v>
      </c>
      <c r="Z205" s="2">
        <f t="shared" si="213"/>
        <v>1036.5482339999999</v>
      </c>
      <c r="AA205" s="2">
        <f t="shared" si="214"/>
        <v>1040.443839</v>
      </c>
      <c r="AC205">
        <f t="shared" si="206"/>
        <v>24.97094399999997</v>
      </c>
      <c r="AD205">
        <f t="shared" si="215"/>
        <v>18.424963500000022</v>
      </c>
      <c r="AH205">
        <f t="shared" si="216"/>
        <v>-29.98548575999996</v>
      </c>
      <c r="AI205">
        <f t="shared" si="216"/>
        <v>-29.984835963000023</v>
      </c>
      <c r="AJ205">
        <f t="shared" si="217"/>
        <v>-35.849005400000124</v>
      </c>
      <c r="AK205">
        <f t="shared" si="217"/>
        <v>-35.70788999999991</v>
      </c>
      <c r="AM205" s="7">
        <v>945</v>
      </c>
      <c r="AN205">
        <v>-1044.6</v>
      </c>
      <c r="AO205">
        <v>84.2</v>
      </c>
      <c r="AP205">
        <v>-849.3</v>
      </c>
      <c r="AQ205">
        <v>-14.2</v>
      </c>
      <c r="AS205">
        <v>-945</v>
      </c>
      <c r="AT205">
        <v>-86.4</v>
      </c>
      <c r="AU205">
        <v>1016.2</v>
      </c>
      <c r="AV205">
        <v>105.2</v>
      </c>
      <c r="AW205">
        <v>921.1</v>
      </c>
    </row>
    <row r="206" spans="1:51" ht="16.5">
      <c r="A206" s="1">
        <v>41763</v>
      </c>
      <c r="B206" s="13">
        <v>115.43054</v>
      </c>
      <c r="C206" s="13">
        <v>88.214302</v>
      </c>
      <c r="D206">
        <v>48.562374</v>
      </c>
      <c r="E206">
        <v>20.534975</v>
      </c>
      <c r="G206" s="13">
        <v>1975.4903</v>
      </c>
      <c r="H206" s="13">
        <v>1976.9892</v>
      </c>
      <c r="I206" s="21">
        <f>149.60139-31.38048*2</f>
        <v>86.84043000000001</v>
      </c>
      <c r="J206" s="21">
        <f>151.01914-31.38048*2</f>
        <v>88.25818</v>
      </c>
      <c r="L206" s="13">
        <f t="shared" si="201"/>
        <v>115.43054</v>
      </c>
      <c r="M206" s="13">
        <f t="shared" si="201"/>
        <v>88.214302</v>
      </c>
      <c r="N206">
        <f t="shared" si="204"/>
        <v>48.562374</v>
      </c>
      <c r="O206">
        <f t="shared" si="205"/>
        <v>20.534975</v>
      </c>
      <c r="Q206" s="13">
        <f t="shared" si="207"/>
        <v>1975.4903</v>
      </c>
      <c r="R206" s="13">
        <f t="shared" si="208"/>
        <v>1976.9892</v>
      </c>
      <c r="S206" s="21">
        <f t="shared" si="209"/>
        <v>86.84043000000001</v>
      </c>
      <c r="T206" s="21">
        <f t="shared" si="210"/>
        <v>88.25818</v>
      </c>
      <c r="V206" s="7">
        <v>951.81216</v>
      </c>
      <c r="X206" s="2">
        <f t="shared" si="211"/>
        <v>-903.249786</v>
      </c>
      <c r="Y206" s="2">
        <f t="shared" si="212"/>
        <v>-931.2771849999999</v>
      </c>
      <c r="Z206" s="2">
        <f t="shared" si="213"/>
        <v>1038.65259</v>
      </c>
      <c r="AA206" s="2">
        <f t="shared" si="214"/>
        <v>1040.07034</v>
      </c>
      <c r="AC206">
        <f t="shared" si="206"/>
        <v>27.547485499999933</v>
      </c>
      <c r="AD206">
        <f t="shared" si="215"/>
        <v>17.559535000000015</v>
      </c>
      <c r="AH206">
        <f t="shared" si="216"/>
        <v>-30.05517273999999</v>
      </c>
      <c r="AI206">
        <f t="shared" si="216"/>
        <v>-30.022630361999973</v>
      </c>
      <c r="AJ206">
        <f t="shared" si="217"/>
        <v>-35.40754930000003</v>
      </c>
      <c r="AK206">
        <f t="shared" si="217"/>
        <v>-35.53516519999994</v>
      </c>
      <c r="AM206" s="7">
        <v>945</v>
      </c>
      <c r="AN206">
        <v>-1043.4</v>
      </c>
      <c r="AO206">
        <v>83.8</v>
      </c>
      <c r="AP206">
        <v>-850.2</v>
      </c>
      <c r="AQ206">
        <v>-13.2</v>
      </c>
      <c r="AS206">
        <v>-945</v>
      </c>
      <c r="AT206">
        <v>-84.2</v>
      </c>
      <c r="AU206">
        <v>1014.8</v>
      </c>
      <c r="AV206">
        <v>104.5</v>
      </c>
      <c r="AW206">
        <v>921.8</v>
      </c>
      <c r="AY206" t="s">
        <v>13</v>
      </c>
    </row>
    <row r="207" spans="1:51" ht="16.5">
      <c r="A207" s="1">
        <v>41770</v>
      </c>
      <c r="B207" s="13">
        <v>102.4162</v>
      </c>
      <c r="C207" s="13">
        <v>80.858167</v>
      </c>
      <c r="D207">
        <v>33.958014</v>
      </c>
      <c r="E207">
        <v>11.980561</v>
      </c>
      <c r="G207" s="13">
        <v>1980.6706</v>
      </c>
      <c r="H207" s="13">
        <v>1975.9757</v>
      </c>
      <c r="I207">
        <v>94.715211</v>
      </c>
      <c r="J207">
        <v>89.618262</v>
      </c>
      <c r="L207" s="13">
        <f t="shared" si="201"/>
        <v>102.4162</v>
      </c>
      <c r="M207" s="13">
        <f t="shared" si="201"/>
        <v>80.858167</v>
      </c>
      <c r="N207">
        <f t="shared" si="204"/>
        <v>33.958014</v>
      </c>
      <c r="O207">
        <f t="shared" si="205"/>
        <v>11.980561</v>
      </c>
      <c r="Q207" s="13">
        <f t="shared" si="207"/>
        <v>1980.6706</v>
      </c>
      <c r="R207" s="13">
        <f t="shared" si="208"/>
        <v>1975.9757</v>
      </c>
      <c r="S207">
        <f t="shared" si="209"/>
        <v>94.715211</v>
      </c>
      <c r="T207">
        <f t="shared" si="210"/>
        <v>89.618262</v>
      </c>
      <c r="V207" s="7">
        <v>950.23531</v>
      </c>
      <c r="X207" s="2">
        <f t="shared" si="211"/>
        <v>-916.277296</v>
      </c>
      <c r="Y207" s="2">
        <f t="shared" si="212"/>
        <v>-938.2547490000001</v>
      </c>
      <c r="Z207" s="2">
        <f t="shared" si="213"/>
        <v>1044.950521</v>
      </c>
      <c r="AA207" s="2">
        <f t="shared" si="214"/>
        <v>1039.853572</v>
      </c>
      <c r="AC207">
        <f t="shared" si="206"/>
        <v>37.55002250000001</v>
      </c>
      <c r="AD207">
        <f t="shared" si="215"/>
        <v>14.518953500000098</v>
      </c>
      <c r="AH207">
        <f t="shared" si="216"/>
        <v>-29.66489820000004</v>
      </c>
      <c r="AI207">
        <f t="shared" si="216"/>
        <v>-29.416019177000067</v>
      </c>
      <c r="AJ207">
        <f t="shared" si="217"/>
        <v>-34.45050759999992</v>
      </c>
      <c r="AK207">
        <f t="shared" si="217"/>
        <v>-34.707014699999945</v>
      </c>
      <c r="AM207" s="7">
        <v>945</v>
      </c>
      <c r="AN207">
        <v>-1040.1</v>
      </c>
      <c r="AO207">
        <v>80.1</v>
      </c>
      <c r="AP207">
        <v>-853.3</v>
      </c>
      <c r="AQ207">
        <v>-9.8</v>
      </c>
      <c r="AS207">
        <v>-945</v>
      </c>
      <c r="AT207">
        <v>-80.9</v>
      </c>
      <c r="AU207">
        <v>1011.9</v>
      </c>
      <c r="AV207">
        <v>101.2</v>
      </c>
      <c r="AW207">
        <v>925.1</v>
      </c>
      <c r="AY207" t="s">
        <v>161</v>
      </c>
    </row>
    <row r="208" spans="1:51" ht="16.5">
      <c r="A208" s="1">
        <v>41785</v>
      </c>
      <c r="B208" s="13">
        <v>90.914636</v>
      </c>
      <c r="C208" s="13">
        <v>73.017216</v>
      </c>
      <c r="D208">
        <v>19.002666</v>
      </c>
      <c r="E208">
        <v>0.90006106</v>
      </c>
      <c r="G208" s="13">
        <v>1985.6074</v>
      </c>
      <c r="H208" s="13">
        <v>1976.0159</v>
      </c>
      <c r="I208">
        <v>103.77782</v>
      </c>
      <c r="J208">
        <v>93.738793</v>
      </c>
      <c r="L208" s="13">
        <f t="shared" si="201"/>
        <v>90.914636</v>
      </c>
      <c r="M208" s="13">
        <f t="shared" si="201"/>
        <v>73.017216</v>
      </c>
      <c r="N208">
        <f t="shared" si="204"/>
        <v>19.002666</v>
      </c>
      <c r="O208">
        <f t="shared" si="205"/>
        <v>0.90006106</v>
      </c>
      <c r="Q208" s="13">
        <f t="shared" si="207"/>
        <v>1985.6074</v>
      </c>
      <c r="R208" s="13">
        <f t="shared" si="208"/>
        <v>1976.0159</v>
      </c>
      <c r="S208">
        <f t="shared" si="209"/>
        <v>103.77782</v>
      </c>
      <c r="T208">
        <f t="shared" si="210"/>
        <v>93.738793</v>
      </c>
      <c r="V208" s="7">
        <v>947.34858</v>
      </c>
      <c r="X208" s="2">
        <f aca="true" t="shared" si="218" ref="X208:X217">N208-V208</f>
        <v>-928.345914</v>
      </c>
      <c r="Y208" s="2">
        <f aca="true" t="shared" si="219" ref="Y208:Y217">O208-V208</f>
        <v>-946.44851894</v>
      </c>
      <c r="Z208" s="2">
        <f t="shared" si="213"/>
        <v>1051.1263999999999</v>
      </c>
      <c r="AA208" s="2">
        <f t="shared" si="214"/>
        <v>1041.087373</v>
      </c>
      <c r="AC208">
        <f t="shared" si="206"/>
        <v>47.68121647000004</v>
      </c>
      <c r="AD208">
        <f t="shared" si="215"/>
        <v>10.814113499999994</v>
      </c>
      <c r="AH208">
        <f aca="true" t="shared" si="220" ref="AH208:AH217">(X208-1024*0.0545)-(L208-1024+7.5)*1.031</f>
        <v>-29.87540371600005</v>
      </c>
      <c r="AI208">
        <f aca="true" t="shared" si="221" ref="AI208:AI217">(Y208-1024*0.0545)-(M208-1024+7.5)*1.031</f>
        <v>-29.525768636000066</v>
      </c>
      <c r="AJ208">
        <f t="shared" si="217"/>
        <v>-33.36446940000019</v>
      </c>
      <c r="AK208">
        <f t="shared" si="217"/>
        <v>-33.51465989999997</v>
      </c>
      <c r="AM208" s="21">
        <v>930</v>
      </c>
      <c r="AN208">
        <f>-1022.9-15</f>
        <v>-1037.9</v>
      </c>
      <c r="AO208">
        <v>77.2</v>
      </c>
      <c r="AP208">
        <f>-839.8-15</f>
        <v>-854.8</v>
      </c>
      <c r="AQ208">
        <v>-7.7</v>
      </c>
      <c r="AS208">
        <v>-945</v>
      </c>
      <c r="AT208">
        <v>-79.5</v>
      </c>
      <c r="AU208">
        <v>1009.2</v>
      </c>
      <c r="AV208">
        <v>99.2</v>
      </c>
      <c r="AW208">
        <v>927.8</v>
      </c>
      <c r="AY208" t="s">
        <v>13</v>
      </c>
    </row>
    <row r="209" spans="1:51" ht="16.5">
      <c r="A209" s="1">
        <v>41795</v>
      </c>
      <c r="B209" s="13">
        <v>87.757409</v>
      </c>
      <c r="C209" s="13">
        <v>71.027718</v>
      </c>
      <c r="D209">
        <v>13.56813</v>
      </c>
      <c r="E209">
        <v>-2.9679671</v>
      </c>
      <c r="G209" s="13">
        <v>1987.1421</v>
      </c>
      <c r="H209" s="13">
        <v>1976.3625</v>
      </c>
      <c r="I209">
        <v>107.00587</v>
      </c>
      <c r="J209">
        <v>95.752802</v>
      </c>
      <c r="L209" s="13">
        <f t="shared" si="201"/>
        <v>87.757409</v>
      </c>
      <c r="M209" s="13">
        <f t="shared" si="201"/>
        <v>71.027718</v>
      </c>
      <c r="N209">
        <f t="shared" si="204"/>
        <v>13.56813</v>
      </c>
      <c r="O209">
        <f t="shared" si="205"/>
        <v>-2.9679671</v>
      </c>
      <c r="Q209" s="13">
        <f t="shared" si="207"/>
        <v>1987.1421</v>
      </c>
      <c r="R209" s="13">
        <f t="shared" si="208"/>
        <v>1976.3625</v>
      </c>
      <c r="S209">
        <f t="shared" si="209"/>
        <v>107.00587</v>
      </c>
      <c r="T209">
        <f t="shared" si="210"/>
        <v>95.752802</v>
      </c>
      <c r="V209" s="7">
        <v>945.86168</v>
      </c>
      <c r="X209" s="2">
        <f t="shared" si="218"/>
        <v>-932.29355</v>
      </c>
      <c r="Y209" s="2">
        <f t="shared" si="219"/>
        <v>-948.8296471</v>
      </c>
      <c r="Z209" s="2">
        <f t="shared" si="213"/>
        <v>1052.86755</v>
      </c>
      <c r="AA209" s="2">
        <f t="shared" si="214"/>
        <v>1041.614482</v>
      </c>
      <c r="AC209">
        <f t="shared" si="206"/>
        <v>50.845598550000034</v>
      </c>
      <c r="AD209">
        <f t="shared" si="215"/>
        <v>9.679984000000022</v>
      </c>
      <c r="AH209">
        <f t="shared" si="220"/>
        <v>-30.56793867900012</v>
      </c>
      <c r="AI209">
        <f t="shared" si="221"/>
        <v>-29.85572435800009</v>
      </c>
      <c r="AJ209">
        <f t="shared" si="217"/>
        <v>-33.205595100000096</v>
      </c>
      <c r="AK209">
        <f t="shared" si="217"/>
        <v>-33.34489550000001</v>
      </c>
      <c r="AM209" s="21">
        <v>930</v>
      </c>
      <c r="AN209">
        <f>-1022.3-15</f>
        <v>-1037.3</v>
      </c>
      <c r="AO209">
        <v>76.3</v>
      </c>
      <c r="AP209">
        <f>-840.2-15</f>
        <v>-855.2</v>
      </c>
      <c r="AQ209">
        <v>-7.3</v>
      </c>
      <c r="AS209">
        <v>-945</v>
      </c>
      <c r="AT209">
        <v>-78.6</v>
      </c>
      <c r="AU209">
        <v>1008.4</v>
      </c>
      <c r="AV209">
        <v>98.6</v>
      </c>
      <c r="AW209">
        <v>927.8</v>
      </c>
      <c r="AY209" t="s">
        <v>13</v>
      </c>
    </row>
    <row r="210" spans="1:51" ht="16.5">
      <c r="A210" s="1">
        <v>41804</v>
      </c>
      <c r="B210" s="13">
        <v>84.925564</v>
      </c>
      <c r="C210" s="13">
        <v>69.226441</v>
      </c>
      <c r="D210">
        <v>10.580566</v>
      </c>
      <c r="E210">
        <v>-5.5364618</v>
      </c>
      <c r="G210" s="13">
        <v>1987.6486</v>
      </c>
      <c r="H210" s="13">
        <v>1976.064</v>
      </c>
      <c r="I210">
        <v>108.78323</v>
      </c>
      <c r="J210">
        <v>96.605736</v>
      </c>
      <c r="L210" s="13">
        <f t="shared" si="201"/>
        <v>84.925564</v>
      </c>
      <c r="M210" s="13">
        <f t="shared" si="201"/>
        <v>69.226441</v>
      </c>
      <c r="N210">
        <f t="shared" si="204"/>
        <v>10.580566</v>
      </c>
      <c r="O210">
        <f t="shared" si="205"/>
        <v>-5.5364618</v>
      </c>
      <c r="Q210" s="13">
        <f t="shared" si="207"/>
        <v>1987.6486</v>
      </c>
      <c r="R210" s="13">
        <f t="shared" si="208"/>
        <v>1976.064</v>
      </c>
      <c r="S210">
        <f t="shared" si="209"/>
        <v>108.78323</v>
      </c>
      <c r="T210">
        <f t="shared" si="210"/>
        <v>96.605736</v>
      </c>
      <c r="V210" s="7">
        <v>944.86</v>
      </c>
      <c r="X210" s="2">
        <f t="shared" si="218"/>
        <v>-934.279434</v>
      </c>
      <c r="Y210" s="2">
        <f t="shared" si="219"/>
        <v>-950.3964618</v>
      </c>
      <c r="Z210" s="2">
        <f t="shared" si="213"/>
        <v>1053.6432300000001</v>
      </c>
      <c r="AA210" s="2">
        <f t="shared" si="214"/>
        <v>1041.465736</v>
      </c>
      <c r="AC210">
        <f t="shared" si="206"/>
        <v>52.621947900000066</v>
      </c>
      <c r="AD210">
        <f t="shared" si="215"/>
        <v>9.366516999999849</v>
      </c>
      <c r="AH210">
        <f t="shared" si="220"/>
        <v>-29.6341904840001</v>
      </c>
      <c r="AI210">
        <f t="shared" si="221"/>
        <v>-29.565422471000147</v>
      </c>
      <c r="AJ210">
        <f t="shared" si="217"/>
        <v>-32.95211659999984</v>
      </c>
      <c r="AK210">
        <f t="shared" si="217"/>
        <v>-33.18588799999998</v>
      </c>
      <c r="AM210" s="21">
        <v>930</v>
      </c>
      <c r="AN210">
        <f>-1022.1-15</f>
        <v>-1037.1</v>
      </c>
      <c r="AO210">
        <v>76.3</v>
      </c>
      <c r="AP210">
        <f>-840-15</f>
        <v>-855</v>
      </c>
      <c r="AQ210">
        <v>-6.4</v>
      </c>
      <c r="AS210">
        <v>-945</v>
      </c>
      <c r="AT210">
        <v>-78.4</v>
      </c>
      <c r="AU210">
        <v>1008.2</v>
      </c>
      <c r="AV210">
        <v>98.2</v>
      </c>
      <c r="AW210">
        <v>928.8</v>
      </c>
      <c r="AY210" t="s">
        <v>13</v>
      </c>
    </row>
    <row r="211" spans="1:51" ht="16.5">
      <c r="A211" s="1">
        <v>41814</v>
      </c>
      <c r="B211" s="13">
        <v>84.250716</v>
      </c>
      <c r="C211" s="13">
        <v>68.862983</v>
      </c>
      <c r="D211">
        <v>9.3324433</v>
      </c>
      <c r="E211">
        <v>-6.5881362</v>
      </c>
      <c r="G211" s="13">
        <v>1988.3042</v>
      </c>
      <c r="H211" s="13">
        <v>1976.3365</v>
      </c>
      <c r="I211">
        <v>109.82619</v>
      </c>
      <c r="J211">
        <v>97.358843</v>
      </c>
      <c r="L211" s="13">
        <f t="shared" si="201"/>
        <v>84.250716</v>
      </c>
      <c r="M211" s="13">
        <f t="shared" si="201"/>
        <v>68.862983</v>
      </c>
      <c r="N211">
        <f t="shared" si="204"/>
        <v>9.3324433</v>
      </c>
      <c r="O211">
        <f t="shared" si="205"/>
        <v>-6.5881362</v>
      </c>
      <c r="Q211" s="13">
        <f t="shared" si="207"/>
        <v>1988.3042</v>
      </c>
      <c r="R211" s="13">
        <f t="shared" si="208"/>
        <v>1976.3365</v>
      </c>
      <c r="S211">
        <f t="shared" si="209"/>
        <v>109.82619</v>
      </c>
      <c r="T211">
        <f t="shared" si="210"/>
        <v>97.358843</v>
      </c>
      <c r="V211" s="7">
        <v>944.14589</v>
      </c>
      <c r="X211" s="2">
        <f t="shared" si="218"/>
        <v>-934.8134467</v>
      </c>
      <c r="Y211" s="2">
        <f t="shared" si="219"/>
        <v>-950.7340262</v>
      </c>
      <c r="Z211" s="2">
        <f t="shared" si="213"/>
        <v>1053.97208</v>
      </c>
      <c r="AA211" s="2">
        <f t="shared" si="214"/>
        <v>1041.504733</v>
      </c>
      <c r="AC211">
        <f t="shared" si="206"/>
        <v>53.05773645000005</v>
      </c>
      <c r="AD211">
        <f t="shared" si="215"/>
        <v>9.182593499999857</v>
      </c>
      <c r="AH211">
        <f t="shared" si="220"/>
        <v>-29.472434896000095</v>
      </c>
      <c r="AI211">
        <f t="shared" si="221"/>
        <v>-29.528261673000088</v>
      </c>
      <c r="AJ211">
        <f t="shared" si="217"/>
        <v>-33.2991902</v>
      </c>
      <c r="AK211">
        <f t="shared" si="217"/>
        <v>-33.42783849999989</v>
      </c>
      <c r="AM211" s="21">
        <v>930</v>
      </c>
      <c r="AN211">
        <f>-1021.6-15</f>
        <v>-1036.6</v>
      </c>
      <c r="AO211">
        <v>76</v>
      </c>
      <c r="AP211">
        <f>-841.1-15</f>
        <v>-856.1</v>
      </c>
      <c r="AQ211">
        <v>-6.5</v>
      </c>
      <c r="AS211">
        <v>-945</v>
      </c>
      <c r="AT211">
        <v>-78.2</v>
      </c>
      <c r="AU211">
        <v>1008.2</v>
      </c>
      <c r="AV211">
        <v>97.9</v>
      </c>
      <c r="AW211">
        <v>928.9</v>
      </c>
      <c r="AY211" t="s">
        <v>13</v>
      </c>
    </row>
    <row r="212" spans="1:51" ht="16.5">
      <c r="A212" s="1">
        <v>41831</v>
      </c>
      <c r="B212" s="13">
        <v>87.225173</v>
      </c>
      <c r="C212" s="13">
        <v>70.08972</v>
      </c>
      <c r="D212">
        <v>11.582387</v>
      </c>
      <c r="E212">
        <v>-5.6410961</v>
      </c>
      <c r="G212" s="13">
        <v>1987.0194</v>
      </c>
      <c r="H212" s="13">
        <v>1976.1725</v>
      </c>
      <c r="I212">
        <v>109.06607</v>
      </c>
      <c r="J212">
        <v>97.594132</v>
      </c>
      <c r="L212" s="13">
        <f t="shared" si="201"/>
        <v>87.225173</v>
      </c>
      <c r="M212" s="13">
        <f t="shared" si="201"/>
        <v>70.08972</v>
      </c>
      <c r="N212">
        <f t="shared" si="204"/>
        <v>11.582387</v>
      </c>
      <c r="O212">
        <f t="shared" si="205"/>
        <v>-5.6410961</v>
      </c>
      <c r="Q212" s="13">
        <f t="shared" si="207"/>
        <v>1987.0194</v>
      </c>
      <c r="R212" s="13">
        <f t="shared" si="208"/>
        <v>1976.1725</v>
      </c>
      <c r="S212">
        <f t="shared" si="209"/>
        <v>109.06607</v>
      </c>
      <c r="T212">
        <f t="shared" si="210"/>
        <v>97.594132</v>
      </c>
      <c r="V212" s="7">
        <v>943.93712</v>
      </c>
      <c r="X212" s="2">
        <f t="shared" si="218"/>
        <v>-932.354733</v>
      </c>
      <c r="Y212" s="2">
        <f t="shared" si="219"/>
        <v>-949.5782161000001</v>
      </c>
      <c r="Z212" s="2">
        <f t="shared" si="213"/>
        <v>1053.0031900000001</v>
      </c>
      <c r="AA212" s="2">
        <f t="shared" si="214"/>
        <v>1041.531252</v>
      </c>
      <c r="AC212">
        <f t="shared" si="206"/>
        <v>51.25047455000009</v>
      </c>
      <c r="AD212">
        <f t="shared" si="215"/>
        <v>9.653778999999904</v>
      </c>
      <c r="AH212">
        <f t="shared" si="220"/>
        <v>-30.080386363000116</v>
      </c>
      <c r="AI212">
        <f t="shared" si="221"/>
        <v>-29.63721742000007</v>
      </c>
      <c r="AJ212">
        <f t="shared" si="217"/>
        <v>-32.94345139999973</v>
      </c>
      <c r="AK212">
        <f t="shared" si="217"/>
        <v>-33.23223549999989</v>
      </c>
      <c r="AM212" s="21">
        <v>930</v>
      </c>
      <c r="AN212">
        <f>-1022.7-15</f>
        <v>-1037.7</v>
      </c>
      <c r="AO212">
        <v>76.5</v>
      </c>
      <c r="AP212">
        <f>-840-15</f>
        <v>-855</v>
      </c>
      <c r="AQ212">
        <v>-6.9</v>
      </c>
      <c r="AS212">
        <v>-945</v>
      </c>
      <c r="AT212">
        <v>-78.4</v>
      </c>
      <c r="AU212">
        <v>1008.3</v>
      </c>
      <c r="AV212">
        <v>99.2</v>
      </c>
      <c r="AW212">
        <v>928.3</v>
      </c>
      <c r="AY212" t="s">
        <v>13</v>
      </c>
    </row>
    <row r="213" spans="1:51" ht="16.5">
      <c r="A213" s="1">
        <v>41840</v>
      </c>
      <c r="B213" s="13">
        <v>90.863423</v>
      </c>
      <c r="C213" s="13">
        <v>71.171788</v>
      </c>
      <c r="D213">
        <v>17.665928</v>
      </c>
      <c r="E213">
        <v>-2.5532252</v>
      </c>
      <c r="G213" s="13">
        <v>1985.5365</v>
      </c>
      <c r="H213" s="13">
        <v>1976.3575</v>
      </c>
      <c r="I213">
        <v>106.55307</v>
      </c>
      <c r="J213">
        <v>97.098486</v>
      </c>
      <c r="L213" s="13">
        <f t="shared" si="201"/>
        <v>90.863423</v>
      </c>
      <c r="M213" s="13">
        <f t="shared" si="201"/>
        <v>71.171788</v>
      </c>
      <c r="N213">
        <f t="shared" si="204"/>
        <v>17.665928</v>
      </c>
      <c r="O213">
        <f t="shared" si="205"/>
        <v>-2.5532252</v>
      </c>
      <c r="Q213" s="13">
        <f t="shared" si="207"/>
        <v>1985.5365</v>
      </c>
      <c r="R213" s="13">
        <f t="shared" si="208"/>
        <v>1976.3575</v>
      </c>
      <c r="S213">
        <f t="shared" si="209"/>
        <v>106.55307</v>
      </c>
      <c r="T213">
        <f t="shared" si="210"/>
        <v>97.098486</v>
      </c>
      <c r="V213" s="7">
        <v>944.34357</v>
      </c>
      <c r="X213" s="2">
        <f t="shared" si="218"/>
        <v>-926.677642</v>
      </c>
      <c r="Y213" s="2">
        <f t="shared" si="219"/>
        <v>-946.8967952</v>
      </c>
      <c r="Z213" s="2">
        <f t="shared" si="213"/>
        <v>1050.89664</v>
      </c>
      <c r="AA213" s="2">
        <f t="shared" si="214"/>
        <v>1041.442056</v>
      </c>
      <c r="AC213">
        <f t="shared" si="206"/>
        <v>47.07121860000001</v>
      </c>
      <c r="AD213">
        <f t="shared" si="215"/>
        <v>10.751652000000067</v>
      </c>
      <c r="AH213">
        <f t="shared" si="220"/>
        <v>-28.154331113000126</v>
      </c>
      <c r="AI213">
        <f t="shared" si="221"/>
        <v>-28.071408628000086</v>
      </c>
      <c r="AJ213">
        <f t="shared" si="217"/>
        <v>-33.52113149999991</v>
      </c>
      <c r="AK213">
        <f t="shared" si="217"/>
        <v>-33.51216649999992</v>
      </c>
      <c r="AM213" s="21">
        <v>930</v>
      </c>
      <c r="AN213">
        <f>-1023.8-15</f>
        <v>-1038.8</v>
      </c>
      <c r="AO213">
        <v>77.4</v>
      </c>
      <c r="AP213">
        <f>-838.8-15</f>
        <v>-853.8</v>
      </c>
      <c r="AQ213">
        <v>-7.7</v>
      </c>
      <c r="AS213">
        <v>-945</v>
      </c>
      <c r="AT213">
        <v>-79.8</v>
      </c>
      <c r="AU213">
        <v>1009.5</v>
      </c>
      <c r="AV213">
        <v>100.4</v>
      </c>
      <c r="AW213">
        <v>927.6</v>
      </c>
      <c r="AY213" t="s">
        <v>13</v>
      </c>
    </row>
    <row r="214" spans="1:51" ht="16.5">
      <c r="A214" s="1">
        <v>41847</v>
      </c>
      <c r="B214" s="13">
        <v>94.799799</v>
      </c>
      <c r="C214" s="13">
        <v>72.956455</v>
      </c>
      <c r="D214">
        <v>20.219576</v>
      </c>
      <c r="E214">
        <v>-1.8020631</v>
      </c>
      <c r="G214" s="13">
        <v>1984.5383</v>
      </c>
      <c r="H214" s="13">
        <v>1976.906</v>
      </c>
      <c r="I214">
        <v>104.46079</v>
      </c>
      <c r="J214">
        <v>96.61316</v>
      </c>
      <c r="L214" s="13">
        <f t="shared" si="201"/>
        <v>94.799799</v>
      </c>
      <c r="M214" s="13">
        <f t="shared" si="201"/>
        <v>72.956455</v>
      </c>
      <c r="N214">
        <f t="shared" si="204"/>
        <v>20.219576</v>
      </c>
      <c r="O214">
        <f t="shared" si="205"/>
        <v>-1.8020631</v>
      </c>
      <c r="Q214" s="13">
        <f t="shared" si="207"/>
        <v>1984.5383</v>
      </c>
      <c r="R214" s="13">
        <f t="shared" si="208"/>
        <v>1976.906</v>
      </c>
      <c r="S214">
        <f t="shared" si="209"/>
        <v>104.46079</v>
      </c>
      <c r="T214">
        <f t="shared" si="210"/>
        <v>96.61316</v>
      </c>
      <c r="V214" s="7">
        <v>944.90209</v>
      </c>
      <c r="X214" s="2">
        <f t="shared" si="218"/>
        <v>-924.6825140000001</v>
      </c>
      <c r="Y214" s="2">
        <f t="shared" si="219"/>
        <v>-946.7041531000001</v>
      </c>
      <c r="Z214" s="2">
        <f t="shared" si="213"/>
        <v>1049.3628800000001</v>
      </c>
      <c r="AA214" s="2">
        <f t="shared" si="214"/>
        <v>1041.51525</v>
      </c>
      <c r="AC214">
        <f t="shared" si="206"/>
        <v>45.97733355000008</v>
      </c>
      <c r="AD214">
        <f t="shared" si="215"/>
        <v>11.48193499999994</v>
      </c>
      <c r="AH214">
        <f t="shared" si="220"/>
        <v>-30.217606769000213</v>
      </c>
      <c r="AI214">
        <f t="shared" si="221"/>
        <v>-29.7187582050002</v>
      </c>
      <c r="AJ214">
        <f t="shared" si="217"/>
        <v>-34.02574729999981</v>
      </c>
      <c r="AK214">
        <f t="shared" si="217"/>
        <v>-34.004475999999954</v>
      </c>
      <c r="AM214" s="21">
        <v>930</v>
      </c>
      <c r="AN214">
        <f>-1024.8-15</f>
        <v>-1039.8</v>
      </c>
      <c r="AO214">
        <v>78.5</v>
      </c>
      <c r="AP214">
        <f>-837.8-15</f>
        <v>-852.8</v>
      </c>
      <c r="AQ214">
        <v>-8.5</v>
      </c>
      <c r="AS214">
        <v>-945</v>
      </c>
      <c r="AT214">
        <v>-80.7</v>
      </c>
      <c r="AU214">
        <v>1010.6</v>
      </c>
      <c r="AV214">
        <v>101.4</v>
      </c>
      <c r="AW214">
        <v>926.8</v>
      </c>
      <c r="AY214" t="s">
        <v>13</v>
      </c>
    </row>
    <row r="215" spans="1:51" ht="16.5">
      <c r="A215" s="1">
        <v>41855</v>
      </c>
      <c r="B215" s="13">
        <v>101.27913</v>
      </c>
      <c r="C215" s="13">
        <v>76.485205</v>
      </c>
      <c r="D215">
        <v>28.078479</v>
      </c>
      <c r="E215">
        <v>2.9709987</v>
      </c>
      <c r="G215" s="13">
        <v>1981.2552</v>
      </c>
      <c r="H215" s="13">
        <v>1977.1813</v>
      </c>
      <c r="I215">
        <v>99.411527</v>
      </c>
      <c r="J215">
        <v>94.96308</v>
      </c>
      <c r="L215" s="13">
        <f t="shared" si="201"/>
        <v>101.27913</v>
      </c>
      <c r="M215" s="13">
        <f t="shared" si="201"/>
        <v>76.485205</v>
      </c>
      <c r="N215">
        <f t="shared" si="204"/>
        <v>28.078479</v>
      </c>
      <c r="O215">
        <f t="shared" si="205"/>
        <v>2.9709987</v>
      </c>
      <c r="Q215" s="13">
        <f t="shared" si="207"/>
        <v>1981.2552</v>
      </c>
      <c r="R215" s="13">
        <f t="shared" si="208"/>
        <v>1977.1813</v>
      </c>
      <c r="S215">
        <f t="shared" si="209"/>
        <v>99.411527</v>
      </c>
      <c r="T215">
        <f t="shared" si="210"/>
        <v>94.96308</v>
      </c>
      <c r="V215" s="7">
        <v>945.79097</v>
      </c>
      <c r="X215" s="2">
        <f t="shared" si="218"/>
        <v>-917.712491</v>
      </c>
      <c r="Y215" s="2">
        <f t="shared" si="219"/>
        <v>-942.8199713</v>
      </c>
      <c r="Z215" s="2">
        <f t="shared" si="213"/>
        <v>1045.202497</v>
      </c>
      <c r="AA215" s="2">
        <f t="shared" si="214"/>
        <v>1040.75405</v>
      </c>
      <c r="AC215">
        <f t="shared" si="206"/>
        <v>40.550231150000116</v>
      </c>
      <c r="AD215">
        <f t="shared" si="215"/>
        <v>13.94272650000008</v>
      </c>
      <c r="AH215">
        <f t="shared" si="220"/>
        <v>-29.927774030000023</v>
      </c>
      <c r="AI215">
        <f t="shared" si="221"/>
        <v>-29.472717654999997</v>
      </c>
      <c r="AJ215">
        <f t="shared" si="217"/>
        <v>-34.80125420000002</v>
      </c>
      <c r="AK215">
        <f t="shared" si="217"/>
        <v>-35.04951029999995</v>
      </c>
      <c r="AM215" s="21">
        <v>930</v>
      </c>
      <c r="AN215">
        <f>-1026-15</f>
        <v>-1041</v>
      </c>
      <c r="AO215">
        <v>80.1</v>
      </c>
      <c r="AP215">
        <f>-835.8-15</f>
        <v>-850.8</v>
      </c>
      <c r="AQ215">
        <v>-9.9</v>
      </c>
      <c r="AS215">
        <v>-945</v>
      </c>
      <c r="AT215">
        <v>-82.3</v>
      </c>
      <c r="AU215">
        <v>1012.1</v>
      </c>
      <c r="AV215">
        <v>103.3</v>
      </c>
      <c r="AW215">
        <v>925.2</v>
      </c>
      <c r="AY215" t="s">
        <v>13</v>
      </c>
    </row>
    <row r="216" spans="1:51" ht="16.5">
      <c r="A216" s="1">
        <v>41860</v>
      </c>
      <c r="B216" s="13">
        <v>109.64841</v>
      </c>
      <c r="C216" s="13">
        <v>81.359948</v>
      </c>
      <c r="D216">
        <v>37.171496</v>
      </c>
      <c r="E216">
        <v>8.4373355</v>
      </c>
      <c r="G216" s="13">
        <v>1977.7813</v>
      </c>
      <c r="H216" s="13">
        <v>1977.1138</v>
      </c>
      <c r="I216">
        <v>94.693683</v>
      </c>
      <c r="J216">
        <v>94.031803</v>
      </c>
      <c r="L216" s="13">
        <f t="shared" si="201"/>
        <v>109.64841</v>
      </c>
      <c r="M216" s="13">
        <f t="shared" si="201"/>
        <v>81.359948</v>
      </c>
      <c r="N216">
        <f t="shared" si="204"/>
        <v>37.171496</v>
      </c>
      <c r="O216">
        <f t="shared" si="205"/>
        <v>8.4373355</v>
      </c>
      <c r="Q216" s="13">
        <f t="shared" si="207"/>
        <v>1977.7813</v>
      </c>
      <c r="R216" s="13">
        <f t="shared" si="208"/>
        <v>1977.1138</v>
      </c>
      <c r="S216">
        <f t="shared" si="209"/>
        <v>94.693683</v>
      </c>
      <c r="T216">
        <f t="shared" si="210"/>
        <v>94.031803</v>
      </c>
      <c r="V216" s="7">
        <v>946.47648</v>
      </c>
      <c r="X216" s="2">
        <f t="shared" si="218"/>
        <v>-909.304984</v>
      </c>
      <c r="Y216" s="2">
        <f t="shared" si="219"/>
        <v>-938.0391445</v>
      </c>
      <c r="Z216" s="2">
        <f t="shared" si="213"/>
        <v>1041.170163</v>
      </c>
      <c r="AA216" s="2">
        <f t="shared" si="214"/>
        <v>1040.5082830000001</v>
      </c>
      <c r="AC216">
        <f t="shared" si="206"/>
        <v>33.95606425</v>
      </c>
      <c r="AD216">
        <f t="shared" si="215"/>
        <v>16.08177700000002</v>
      </c>
      <c r="AH216">
        <f t="shared" si="220"/>
        <v>-30.148994710000125</v>
      </c>
      <c r="AI216">
        <f t="shared" si="221"/>
        <v>-29.71775088800007</v>
      </c>
      <c r="AJ216">
        <f t="shared" si="217"/>
        <v>-35.251997300000085</v>
      </c>
      <c r="AK216">
        <f t="shared" si="217"/>
        <v>-35.225684799999954</v>
      </c>
      <c r="AM216" s="21">
        <v>930</v>
      </c>
      <c r="AN216">
        <f>-1027.8-15</f>
        <v>-1042.8</v>
      </c>
      <c r="AO216">
        <v>81.8</v>
      </c>
      <c r="AP216">
        <f>-834.2-15</f>
        <v>-849.2</v>
      </c>
      <c r="AQ216">
        <v>-11.6</v>
      </c>
      <c r="AS216">
        <v>-945</v>
      </c>
      <c r="AT216">
        <v>-84.3</v>
      </c>
      <c r="AU216">
        <v>1014.2</v>
      </c>
      <c r="AV216">
        <v>105.3</v>
      </c>
      <c r="AW216">
        <v>923.3</v>
      </c>
      <c r="AY216" t="s">
        <v>13</v>
      </c>
    </row>
    <row r="217" spans="1:49" ht="16.5">
      <c r="A217" s="1">
        <v>41865</v>
      </c>
      <c r="B217" s="13">
        <v>119.63006</v>
      </c>
      <c r="C217" s="13">
        <v>87.392518</v>
      </c>
      <c r="D217">
        <v>49.191679</v>
      </c>
      <c r="E217">
        <v>15.663519</v>
      </c>
      <c r="G217" s="13">
        <v>1974.2163</v>
      </c>
      <c r="H217" s="13">
        <v>1977.7338</v>
      </c>
      <c r="I217">
        <v>89.524549</v>
      </c>
      <c r="J217">
        <v>93.259004</v>
      </c>
      <c r="L217" s="13">
        <f t="shared" si="201"/>
        <v>119.63006</v>
      </c>
      <c r="M217" s="13">
        <f t="shared" si="201"/>
        <v>87.392518</v>
      </c>
      <c r="N217">
        <f t="shared" si="204"/>
        <v>49.191679</v>
      </c>
      <c r="O217">
        <f t="shared" si="205"/>
        <v>15.663519</v>
      </c>
      <c r="Q217" s="13">
        <f t="shared" si="207"/>
        <v>1974.2163</v>
      </c>
      <c r="R217" s="13">
        <f t="shared" si="208"/>
        <v>1977.7338</v>
      </c>
      <c r="S217">
        <f t="shared" si="209"/>
        <v>89.524549</v>
      </c>
      <c r="T217">
        <f t="shared" si="210"/>
        <v>93.259004</v>
      </c>
      <c r="V217" s="7">
        <v>947.257</v>
      </c>
      <c r="X217" s="2">
        <f t="shared" si="218"/>
        <v>-898.0653209999999</v>
      </c>
      <c r="Y217" s="2">
        <f t="shared" si="219"/>
        <v>-931.593481</v>
      </c>
      <c r="Z217" s="2">
        <f t="shared" si="213"/>
        <v>1036.781549</v>
      </c>
      <c r="AA217" s="2">
        <f t="shared" si="214"/>
        <v>1040.516004</v>
      </c>
      <c r="AC217">
        <f t="shared" si="206"/>
        <v>25.113401000000007</v>
      </c>
      <c r="AD217">
        <f t="shared" si="215"/>
        <v>18.2722234999998</v>
      </c>
      <c r="AH217">
        <f t="shared" si="220"/>
        <v>-29.200412859999915</v>
      </c>
      <c r="AI217">
        <f t="shared" si="221"/>
        <v>-29.491667058000075</v>
      </c>
      <c r="AJ217">
        <f t="shared" si="217"/>
        <v>-35.96509630000003</v>
      </c>
      <c r="AK217">
        <f t="shared" si="217"/>
        <v>-35.857183799999916</v>
      </c>
      <c r="AM217" s="21">
        <v>930</v>
      </c>
      <c r="AN217">
        <f>-1030.2-15</f>
        <v>-1045.2</v>
      </c>
      <c r="AO217">
        <v>84</v>
      </c>
      <c r="AP217">
        <f>-831.7-15</f>
        <v>-846.7</v>
      </c>
      <c r="AQ217">
        <v>-14.3</v>
      </c>
      <c r="AS217">
        <v>-945</v>
      </c>
      <c r="AT217">
        <v>-86.6</v>
      </c>
      <c r="AU217">
        <v>1016.2</v>
      </c>
      <c r="AV217">
        <v>107.7</v>
      </c>
      <c r="AW217">
        <v>921.1</v>
      </c>
    </row>
    <row r="218" spans="1:49" ht="16.5">
      <c r="A218" s="1">
        <v>41874</v>
      </c>
      <c r="B218" s="13">
        <v>120.40019</v>
      </c>
      <c r="C218" s="13">
        <v>87.988869</v>
      </c>
      <c r="D218">
        <v>50.014659</v>
      </c>
      <c r="E218">
        <v>16.693007</v>
      </c>
      <c r="G218" s="13">
        <v>1974.2484</v>
      </c>
      <c r="H218" s="13">
        <v>1977.8089</v>
      </c>
      <c r="I218">
        <v>87.709776</v>
      </c>
      <c r="J218">
        <v>91.416995</v>
      </c>
      <c r="L218" s="13">
        <f aca="true" t="shared" si="222" ref="L218:L231">B218</f>
        <v>120.40019</v>
      </c>
      <c r="M218" s="13">
        <f aca="true" t="shared" si="223" ref="M218:M231">C218</f>
        <v>87.988869</v>
      </c>
      <c r="N218">
        <f aca="true" t="shared" si="224" ref="N218:N231">D218</f>
        <v>50.014659</v>
      </c>
      <c r="O218">
        <f aca="true" t="shared" si="225" ref="O218:O231">E218</f>
        <v>16.693007</v>
      </c>
      <c r="Q218" s="13">
        <f aca="true" t="shared" si="226" ref="Q218:Q228">G218+(AS218+945)</f>
        <v>1974.2484</v>
      </c>
      <c r="R218" s="13">
        <f aca="true" t="shared" si="227" ref="R218:R228">H218+(AS218+945)</f>
        <v>1977.8089</v>
      </c>
      <c r="S218">
        <f aca="true" t="shared" si="228" ref="S218:S228">I218+(AS218+945)</f>
        <v>87.709776</v>
      </c>
      <c r="T218">
        <f aca="true" t="shared" si="229" ref="T218:T228">J218+(AS218+945)</f>
        <v>91.416995</v>
      </c>
      <c r="V218" s="7">
        <v>948.88545</v>
      </c>
      <c r="X218" s="2">
        <f aca="true" t="shared" si="230" ref="X218:X231">N218-V218</f>
        <v>-898.8707909999999</v>
      </c>
      <c r="Y218" s="2">
        <f aca="true" t="shared" si="231" ref="Y218:Y231">O218-V218</f>
        <v>-932.192443</v>
      </c>
      <c r="Z218" s="2">
        <f aca="true" t="shared" si="232" ref="Z218:Z231">S218+V218</f>
        <v>1036.595226</v>
      </c>
      <c r="AA218" s="2">
        <f aca="true" t="shared" si="233" ref="AA218:AA231">T218+V218</f>
        <v>1040.302445</v>
      </c>
      <c r="AC218">
        <f aca="true" t="shared" si="234" ref="AC218:AC231">1.56-((X218+Y218)/2-(-891.276))</f>
        <v>25.815617000000028</v>
      </c>
      <c r="AD218">
        <f aca="true" t="shared" si="235" ref="AD218:AD231">11.16-((Z218+AA218)/2-1045.761)</f>
        <v>18.47216450000011</v>
      </c>
      <c r="AH218">
        <f aca="true" t="shared" si="236" ref="AH218:AH231">(X218-1024*0.0545)-(L218-1024+7.5)*1.031</f>
        <v>-30.799886889999925</v>
      </c>
      <c r="AI218">
        <f aca="true" t="shared" si="237" ref="AI218:AI231">(Y218-1024*0.0545)-(M218-1024+7.5)*1.031</f>
        <v>-30.705466939000075</v>
      </c>
      <c r="AJ218">
        <f aca="true" t="shared" si="238" ref="AJ218:AJ231">(Z218-2048*0.0545)-(Q218-1024-15.56)*1.031+2.5</f>
        <v>-36.18451440000001</v>
      </c>
      <c r="AK218">
        <f aca="true" t="shared" si="239" ref="AK218:AK231">(AA218-2048*0.0545)-(R218-1024-15.56)*1.031+2.5</f>
        <v>-36.14817089999997</v>
      </c>
      <c r="AM218" s="22">
        <v>945</v>
      </c>
      <c r="AN218">
        <v>-1045.4</v>
      </c>
      <c r="AO218">
        <v>84.5</v>
      </c>
      <c r="AP218">
        <v>-847</v>
      </c>
      <c r="AQ218">
        <v>-14.1</v>
      </c>
      <c r="AS218">
        <v>-945</v>
      </c>
      <c r="AT218">
        <v>-86.5</v>
      </c>
      <c r="AU218">
        <v>1016.8</v>
      </c>
      <c r="AV218">
        <v>107.8</v>
      </c>
      <c r="AW218">
        <v>921.2</v>
      </c>
    </row>
    <row r="219" spans="1:49" ht="16.5">
      <c r="A219" s="1">
        <v>41970</v>
      </c>
      <c r="B219" s="13">
        <v>125.34625</v>
      </c>
      <c r="C219" s="13">
        <v>89.766427</v>
      </c>
      <c r="G219" s="13">
        <v>1971.7016</v>
      </c>
      <c r="H219" s="13">
        <v>1978.378</v>
      </c>
      <c r="L219" s="13">
        <f t="shared" si="222"/>
        <v>125.34625</v>
      </c>
      <c r="M219" s="13">
        <f t="shared" si="223"/>
        <v>89.766427</v>
      </c>
      <c r="Q219" s="13">
        <f t="shared" si="226"/>
        <v>1971.7016</v>
      </c>
      <c r="R219" s="13">
        <f t="shared" si="227"/>
        <v>1978.378</v>
      </c>
      <c r="V219" s="7">
        <v>972.43812</v>
      </c>
      <c r="X219" s="2"/>
      <c r="Y219" s="2"/>
      <c r="Z219" s="2"/>
      <c r="AA219" s="2"/>
      <c r="AM219" s="22">
        <v>945</v>
      </c>
      <c r="AN219">
        <v>-1046.8</v>
      </c>
      <c r="AO219">
        <v>85</v>
      </c>
      <c r="AP219">
        <v>-845.4</v>
      </c>
      <c r="AQ219">
        <v>-15.6</v>
      </c>
      <c r="AS219">
        <v>-945</v>
      </c>
      <c r="AT219">
        <v>-88.7</v>
      </c>
      <c r="AU219">
        <v>1018</v>
      </c>
      <c r="AV219">
        <v>109.1</v>
      </c>
      <c r="AW219">
        <v>920.6</v>
      </c>
    </row>
    <row r="220" spans="1:49" ht="16.5">
      <c r="A220" s="1">
        <v>42001</v>
      </c>
      <c r="B220" s="13">
        <v>126.06851</v>
      </c>
      <c r="C220" s="13">
        <v>89.873741</v>
      </c>
      <c r="D220">
        <v>83.84739</v>
      </c>
      <c r="E220">
        <v>46.430925</v>
      </c>
      <c r="G220" s="13">
        <v>1971.0063</v>
      </c>
      <c r="H220" s="13">
        <v>1978.0065</v>
      </c>
      <c r="I220">
        <v>57.010912</v>
      </c>
      <c r="J220">
        <v>64.27918</v>
      </c>
      <c r="L220" s="13">
        <f t="shared" si="222"/>
        <v>126.06851</v>
      </c>
      <c r="M220" s="13">
        <f t="shared" si="223"/>
        <v>89.873741</v>
      </c>
      <c r="N220">
        <f t="shared" si="224"/>
        <v>83.84739</v>
      </c>
      <c r="O220">
        <f t="shared" si="225"/>
        <v>46.430925</v>
      </c>
      <c r="Q220" s="13">
        <f t="shared" si="226"/>
        <v>1971.0063</v>
      </c>
      <c r="R220" s="13">
        <f t="shared" si="227"/>
        <v>1978.0065</v>
      </c>
      <c r="S220">
        <f t="shared" si="228"/>
        <v>57.010912</v>
      </c>
      <c r="T220">
        <f t="shared" si="229"/>
        <v>64.27918</v>
      </c>
      <c r="V220" s="7">
        <v>975.8098</v>
      </c>
      <c r="X220" s="2">
        <f t="shared" si="230"/>
        <v>-891.96241</v>
      </c>
      <c r="Y220" s="2">
        <f t="shared" si="231"/>
        <v>-929.378875</v>
      </c>
      <c r="Z220" s="2">
        <f t="shared" si="232"/>
        <v>1032.820712</v>
      </c>
      <c r="AA220" s="2">
        <f t="shared" si="233"/>
        <v>1040.08898</v>
      </c>
      <c r="AC220">
        <f t="shared" si="234"/>
        <v>20.95464250000003</v>
      </c>
      <c r="AD220">
        <f t="shared" si="235"/>
        <v>20.46615399999988</v>
      </c>
      <c r="AH220">
        <f t="shared" si="236"/>
        <v>-29.73554381000008</v>
      </c>
      <c r="AI220">
        <f t="shared" si="237"/>
        <v>-29.83520197100006</v>
      </c>
      <c r="AJ220">
        <f t="shared" si="238"/>
        <v>-36.616423300000065</v>
      </c>
      <c r="AK220">
        <f t="shared" si="239"/>
        <v>-36.56536149999988</v>
      </c>
      <c r="AM220" s="22">
        <v>945</v>
      </c>
      <c r="AN220">
        <v>-1047.7</v>
      </c>
      <c r="AO220">
        <v>86.1</v>
      </c>
      <c r="AP220">
        <v>-845.2</v>
      </c>
      <c r="AQ220">
        <v>-15.8</v>
      </c>
      <c r="AS220">
        <v>-945</v>
      </c>
      <c r="AT220">
        <v>-89.1</v>
      </c>
      <c r="AU220">
        <v>1017.8</v>
      </c>
      <c r="AV220">
        <v>109.4</v>
      </c>
      <c r="AW220">
        <v>919.2</v>
      </c>
    </row>
    <row r="221" spans="1:49" ht="16.5">
      <c r="A221" s="1">
        <v>42050</v>
      </c>
      <c r="B221" s="13">
        <v>124.31371</v>
      </c>
      <c r="C221" s="13">
        <v>88.91878</v>
      </c>
      <c r="D221">
        <v>78.843415</v>
      </c>
      <c r="E221">
        <v>42.224441</v>
      </c>
      <c r="G221" s="13">
        <v>1971.1104</v>
      </c>
      <c r="H221" s="13">
        <v>1977.5637</v>
      </c>
      <c r="I221">
        <v>61.270236</v>
      </c>
      <c r="J221">
        <v>68.080244</v>
      </c>
      <c r="L221" s="13">
        <f t="shared" si="222"/>
        <v>124.31371</v>
      </c>
      <c r="M221" s="13">
        <f t="shared" si="223"/>
        <v>88.91878</v>
      </c>
      <c r="N221">
        <f t="shared" si="224"/>
        <v>78.843415</v>
      </c>
      <c r="O221">
        <f t="shared" si="225"/>
        <v>42.224441</v>
      </c>
      <c r="Q221" s="13">
        <f t="shared" si="226"/>
        <v>1971.1104</v>
      </c>
      <c r="R221" s="13">
        <f t="shared" si="227"/>
        <v>1977.5637</v>
      </c>
      <c r="S221">
        <f t="shared" si="228"/>
        <v>61.270236</v>
      </c>
      <c r="T221">
        <f t="shared" si="229"/>
        <v>68.080244</v>
      </c>
      <c r="V221" s="7">
        <v>971.66593</v>
      </c>
      <c r="X221" s="2">
        <f t="shared" si="230"/>
        <v>-892.8225150000001</v>
      </c>
      <c r="Y221" s="2">
        <f t="shared" si="231"/>
        <v>-929.441489</v>
      </c>
      <c r="Z221" s="2">
        <f t="shared" si="232"/>
        <v>1032.936166</v>
      </c>
      <c r="AA221" s="2">
        <f t="shared" si="233"/>
        <v>1039.7461739999999</v>
      </c>
      <c r="AC221">
        <f t="shared" si="234"/>
        <v>21.416002000000102</v>
      </c>
      <c r="AD221">
        <f t="shared" si="235"/>
        <v>20.579830000000047</v>
      </c>
      <c r="AH221">
        <f t="shared" si="236"/>
        <v>-28.78645001000018</v>
      </c>
      <c r="AI221">
        <f t="shared" si="237"/>
        <v>-28.91325118000009</v>
      </c>
      <c r="AJ221">
        <f t="shared" si="238"/>
        <v>-36.608296400000086</v>
      </c>
      <c r="AK221">
        <f t="shared" si="239"/>
        <v>-36.451640699999984</v>
      </c>
      <c r="AM221" s="22">
        <v>945</v>
      </c>
      <c r="AN221">
        <v>-1047.8</v>
      </c>
      <c r="AO221">
        <v>85.4</v>
      </c>
      <c r="AP221">
        <v>-846.2</v>
      </c>
      <c r="AQ221">
        <v>-15.7</v>
      </c>
      <c r="AS221">
        <v>-945</v>
      </c>
      <c r="AT221">
        <v>-89.4</v>
      </c>
      <c r="AU221">
        <v>1017.8</v>
      </c>
      <c r="AV221">
        <v>108.8</v>
      </c>
      <c r="AW221">
        <v>919.4</v>
      </c>
    </row>
    <row r="222" spans="1:49" ht="16.5">
      <c r="A222" s="1">
        <v>42081</v>
      </c>
      <c r="B222" s="13">
        <v>121.84256</v>
      </c>
      <c r="C222" s="13">
        <v>87.850431</v>
      </c>
      <c r="D222">
        <v>67.724831</v>
      </c>
      <c r="E222">
        <v>32.91065</v>
      </c>
      <c r="G222" s="13">
        <v>1971.9129</v>
      </c>
      <c r="H222" s="13">
        <v>1977.2793</v>
      </c>
      <c r="L222" s="13">
        <f t="shared" si="222"/>
        <v>121.84256</v>
      </c>
      <c r="M222" s="13">
        <f t="shared" si="223"/>
        <v>87.850431</v>
      </c>
      <c r="N222">
        <f t="shared" si="224"/>
        <v>67.724831</v>
      </c>
      <c r="O222">
        <f t="shared" si="225"/>
        <v>32.91065</v>
      </c>
      <c r="Q222" s="13">
        <f t="shared" si="226"/>
        <v>1971.9129</v>
      </c>
      <c r="R222" s="13">
        <f t="shared" si="227"/>
        <v>1977.2793</v>
      </c>
      <c r="V222" s="7">
        <v>964.35068</v>
      </c>
      <c r="X222" s="2">
        <f t="shared" si="230"/>
        <v>-896.625849</v>
      </c>
      <c r="Y222" s="2">
        <f t="shared" si="231"/>
        <v>-931.44003</v>
      </c>
      <c r="Z222" s="2"/>
      <c r="AA222" s="2"/>
      <c r="AC222">
        <f t="shared" si="234"/>
        <v>24.316939500000043</v>
      </c>
      <c r="AH222">
        <f t="shared" si="236"/>
        <v>-30.04202836000013</v>
      </c>
      <c r="AI222">
        <f t="shared" si="237"/>
        <v>-29.81032436099997</v>
      </c>
      <c r="AM222" s="22">
        <v>945</v>
      </c>
      <c r="AN222">
        <v>-1046.7</v>
      </c>
      <c r="AO222">
        <v>85.2</v>
      </c>
      <c r="AP222">
        <v>-846.9</v>
      </c>
      <c r="AQ222">
        <v>-15.3</v>
      </c>
      <c r="AS222">
        <v>-945</v>
      </c>
      <c r="AT222">
        <v>-88.3</v>
      </c>
      <c r="AU222">
        <v>1017</v>
      </c>
      <c r="AV222">
        <v>107.7</v>
      </c>
      <c r="AW222">
        <v>920.1</v>
      </c>
    </row>
    <row r="223" spans="1:49" ht="16.5">
      <c r="A223" s="1">
        <v>42113</v>
      </c>
      <c r="B223" s="13">
        <v>119.51569</v>
      </c>
      <c r="C223" s="13">
        <v>87.144938</v>
      </c>
      <c r="D223">
        <v>57.188769</v>
      </c>
      <c r="E223">
        <v>23.823466</v>
      </c>
      <c r="G223" s="13">
        <v>1973.3625</v>
      </c>
      <c r="H223" s="13">
        <v>1977.2293</v>
      </c>
      <c r="I223">
        <v>79.754575</v>
      </c>
      <c r="J223">
        <v>83.706205</v>
      </c>
      <c r="L223" s="13">
        <f t="shared" si="222"/>
        <v>119.51569</v>
      </c>
      <c r="M223" s="13">
        <f t="shared" si="223"/>
        <v>87.144938</v>
      </c>
      <c r="N223">
        <f t="shared" si="224"/>
        <v>57.188769</v>
      </c>
      <c r="O223">
        <f t="shared" si="225"/>
        <v>23.823466</v>
      </c>
      <c r="Q223" s="13">
        <f t="shared" si="226"/>
        <v>1973.3625</v>
      </c>
      <c r="R223" s="13">
        <f t="shared" si="227"/>
        <v>1977.2293</v>
      </c>
      <c r="S223">
        <f t="shared" si="228"/>
        <v>79.754575</v>
      </c>
      <c r="T223">
        <f t="shared" si="229"/>
        <v>83.706205</v>
      </c>
      <c r="V223" s="7">
        <v>955.63126</v>
      </c>
      <c r="X223" s="2">
        <f t="shared" si="230"/>
        <v>-898.442491</v>
      </c>
      <c r="Y223" s="2">
        <f t="shared" si="231"/>
        <v>-931.807794</v>
      </c>
      <c r="Z223" s="2">
        <f t="shared" si="232"/>
        <v>1035.385835</v>
      </c>
      <c r="AA223" s="2">
        <f t="shared" si="233"/>
        <v>1039.337465</v>
      </c>
      <c r="AC223">
        <f t="shared" si="234"/>
        <v>25.409142500000083</v>
      </c>
      <c r="AD223">
        <f t="shared" si="235"/>
        <v>19.559349999999913</v>
      </c>
      <c r="AH223">
        <f t="shared" si="236"/>
        <v>-29.45966739000005</v>
      </c>
      <c r="AI223">
        <f t="shared" si="237"/>
        <v>-29.450725078000005</v>
      </c>
      <c r="AJ223">
        <f t="shared" si="238"/>
        <v>-36.48054249999984</v>
      </c>
      <c r="AK223">
        <f t="shared" si="239"/>
        <v>-36.51558329999989</v>
      </c>
      <c r="AM223" s="22">
        <v>945</v>
      </c>
      <c r="AN223">
        <v>-1045.7</v>
      </c>
      <c r="AO223">
        <v>84.3</v>
      </c>
      <c r="AP223">
        <v>-847.4</v>
      </c>
      <c r="AQ223">
        <v>-14.5</v>
      </c>
      <c r="AS223">
        <v>-945</v>
      </c>
      <c r="AT223">
        <v>-87.2</v>
      </c>
      <c r="AU223">
        <v>1016.2</v>
      </c>
      <c r="AV223">
        <v>107.2</v>
      </c>
      <c r="AW223">
        <v>920.8</v>
      </c>
    </row>
    <row r="224" spans="1:49" ht="16.5">
      <c r="A224" s="1">
        <v>42129</v>
      </c>
      <c r="B224" s="13">
        <v>116.84504</v>
      </c>
      <c r="C224" s="13">
        <v>86.245651</v>
      </c>
      <c r="D224">
        <v>49.622262</v>
      </c>
      <c r="E224">
        <v>18.091294</v>
      </c>
      <c r="G224" s="13">
        <v>1973.5424</v>
      </c>
      <c r="H224" s="13">
        <v>1976.4316</v>
      </c>
      <c r="I224">
        <v>85.02723</v>
      </c>
      <c r="J224">
        <v>87.951357</v>
      </c>
      <c r="L224" s="13">
        <f t="shared" si="222"/>
        <v>116.84504</v>
      </c>
      <c r="M224" s="13">
        <f t="shared" si="223"/>
        <v>86.245651</v>
      </c>
      <c r="N224">
        <f t="shared" si="224"/>
        <v>49.622262</v>
      </c>
      <c r="O224">
        <f t="shared" si="225"/>
        <v>18.091294</v>
      </c>
      <c r="Q224" s="13">
        <f t="shared" si="226"/>
        <v>1973.5424</v>
      </c>
      <c r="R224" s="13">
        <f t="shared" si="227"/>
        <v>1976.4316</v>
      </c>
      <c r="S224">
        <f t="shared" si="228"/>
        <v>85.02723</v>
      </c>
      <c r="T224">
        <f t="shared" si="229"/>
        <v>87.951357</v>
      </c>
      <c r="V224" s="7">
        <v>951.63959</v>
      </c>
      <c r="X224" s="2">
        <f t="shared" si="230"/>
        <v>-902.017328</v>
      </c>
      <c r="Y224" s="2">
        <f t="shared" si="231"/>
        <v>-933.548296</v>
      </c>
      <c r="Z224" s="2">
        <f t="shared" si="232"/>
        <v>1036.66682</v>
      </c>
      <c r="AA224" s="2">
        <f t="shared" si="233"/>
        <v>1039.590947</v>
      </c>
      <c r="AC224">
        <f t="shared" si="234"/>
        <v>28.06681200000008</v>
      </c>
      <c r="AD224">
        <f t="shared" si="235"/>
        <v>18.79211649999994</v>
      </c>
      <c r="AH224">
        <f t="shared" si="236"/>
        <v>-30.28106424000009</v>
      </c>
      <c r="AI224">
        <f t="shared" si="237"/>
        <v>-30.2640621810001</v>
      </c>
      <c r="AJ224">
        <f t="shared" si="238"/>
        <v>-35.38503440000011</v>
      </c>
      <c r="AK224">
        <f t="shared" si="239"/>
        <v>-35.43967259999988</v>
      </c>
      <c r="AM224" s="22">
        <v>945</v>
      </c>
      <c r="AN224">
        <v>-1045.2</v>
      </c>
      <c r="AO224">
        <v>83.6</v>
      </c>
      <c r="AP224">
        <v>-848.5</v>
      </c>
      <c r="AQ224">
        <v>-13.8</v>
      </c>
      <c r="AS224">
        <v>-945</v>
      </c>
      <c r="AT224">
        <v>-86.3</v>
      </c>
      <c r="AU224">
        <v>1015.6</v>
      </c>
      <c r="AV224">
        <v>106.2</v>
      </c>
      <c r="AW224">
        <v>921.2</v>
      </c>
    </row>
    <row r="225" spans="1:51" ht="16.5">
      <c r="A225" s="1">
        <v>42136</v>
      </c>
      <c r="B225" s="13">
        <v>103.28991</v>
      </c>
      <c r="C225" s="13">
        <v>79.123999</v>
      </c>
      <c r="D225">
        <v>34.175521</v>
      </c>
      <c r="E225">
        <v>9.4478124</v>
      </c>
      <c r="G225" s="13">
        <v>1979.2801</v>
      </c>
      <c r="H225" s="13">
        <v>1975.216</v>
      </c>
      <c r="I225">
        <v>93.062475</v>
      </c>
      <c r="J225">
        <v>88.451817</v>
      </c>
      <c r="L225" s="13">
        <f t="shared" si="222"/>
        <v>103.28991</v>
      </c>
      <c r="M225" s="13">
        <f t="shared" si="223"/>
        <v>79.123999</v>
      </c>
      <c r="N225">
        <f t="shared" si="224"/>
        <v>34.175521</v>
      </c>
      <c r="O225">
        <f t="shared" si="225"/>
        <v>9.4478124</v>
      </c>
      <c r="Q225" s="13">
        <f t="shared" si="226"/>
        <v>1979.2801</v>
      </c>
      <c r="R225" s="13">
        <f t="shared" si="227"/>
        <v>1975.216</v>
      </c>
      <c r="S225">
        <f t="shared" si="228"/>
        <v>93.062475</v>
      </c>
      <c r="T225">
        <f t="shared" si="229"/>
        <v>88.451817</v>
      </c>
      <c r="V225" s="7">
        <v>950.07659</v>
      </c>
      <c r="X225" s="2">
        <f t="shared" si="230"/>
        <v>-915.901069</v>
      </c>
      <c r="Y225" s="2">
        <f t="shared" si="231"/>
        <v>-940.6287776</v>
      </c>
      <c r="Z225" s="2">
        <f t="shared" si="232"/>
        <v>1043.139065</v>
      </c>
      <c r="AA225" s="2">
        <f t="shared" si="233"/>
        <v>1038.528407</v>
      </c>
      <c r="AC225">
        <f t="shared" si="234"/>
        <v>38.54892330000001</v>
      </c>
      <c r="AD225">
        <f t="shared" si="235"/>
        <v>16.087263999999923</v>
      </c>
      <c r="AH225">
        <f t="shared" si="236"/>
        <v>-30.18946621000009</v>
      </c>
      <c r="AI225">
        <f t="shared" si="237"/>
        <v>-30.002120569000112</v>
      </c>
      <c r="AJ225">
        <f t="shared" si="238"/>
        <v>-34.82835809999983</v>
      </c>
      <c r="AK225">
        <f t="shared" si="239"/>
        <v>-35.24892899999986</v>
      </c>
      <c r="AM225" s="22">
        <v>945</v>
      </c>
      <c r="AN225">
        <v>-1041.5</v>
      </c>
      <c r="AO225">
        <v>80.3</v>
      </c>
      <c r="AP225">
        <v>-851.8</v>
      </c>
      <c r="AQ225">
        <v>-10.2</v>
      </c>
      <c r="AS225">
        <v>-945</v>
      </c>
      <c r="AT225">
        <v>-82.8</v>
      </c>
      <c r="AU225">
        <v>1012.2</v>
      </c>
      <c r="AV225">
        <v>107.5</v>
      </c>
      <c r="AW225">
        <v>925.1</v>
      </c>
      <c r="AY225" t="s">
        <v>162</v>
      </c>
    </row>
    <row r="226" spans="1:51" ht="16.5">
      <c r="A226" s="1">
        <v>42138</v>
      </c>
      <c r="B226" s="13">
        <v>99.662233</v>
      </c>
      <c r="C226" s="13">
        <v>76.64958</v>
      </c>
      <c r="D226">
        <v>30.327835</v>
      </c>
      <c r="E226">
        <v>6.5617243</v>
      </c>
      <c r="G226" s="13">
        <v>1980.5692</v>
      </c>
      <c r="H226" s="13">
        <v>1975.0306</v>
      </c>
      <c r="I226">
        <v>95.246948</v>
      </c>
      <c r="J226">
        <v>89.355036</v>
      </c>
      <c r="L226" s="13">
        <f t="shared" si="222"/>
        <v>99.662233</v>
      </c>
      <c r="M226" s="13">
        <f t="shared" si="223"/>
        <v>76.64958</v>
      </c>
      <c r="N226">
        <f t="shared" si="224"/>
        <v>30.327835</v>
      </c>
      <c r="O226">
        <f t="shared" si="225"/>
        <v>6.5617243</v>
      </c>
      <c r="Q226" s="13">
        <f t="shared" si="226"/>
        <v>1980.5692</v>
      </c>
      <c r="R226" s="13">
        <f t="shared" si="227"/>
        <v>1975.0306</v>
      </c>
      <c r="S226">
        <f t="shared" si="228"/>
        <v>95.246948</v>
      </c>
      <c r="T226">
        <f t="shared" si="229"/>
        <v>89.355036</v>
      </c>
      <c r="V226" s="7">
        <v>949.65514</v>
      </c>
      <c r="X226" s="2">
        <f t="shared" si="230"/>
        <v>-919.3273049999999</v>
      </c>
      <c r="Y226" s="2">
        <f t="shared" si="231"/>
        <v>-943.0934156999999</v>
      </c>
      <c r="Z226" s="2">
        <f t="shared" si="232"/>
        <v>1044.902088</v>
      </c>
      <c r="AA226" s="2">
        <f t="shared" si="233"/>
        <v>1039.010176</v>
      </c>
      <c r="AC226">
        <f t="shared" si="234"/>
        <v>41.49436035000002</v>
      </c>
      <c r="AD226">
        <f t="shared" si="235"/>
        <v>14.964867999999942</v>
      </c>
      <c r="AH226">
        <f t="shared" si="236"/>
        <v>-29.875567222999962</v>
      </c>
      <c r="AI226">
        <f t="shared" si="237"/>
        <v>-29.915632680000044</v>
      </c>
      <c r="AJ226">
        <f t="shared" si="238"/>
        <v>-34.394397199999844</v>
      </c>
      <c r="AK226">
        <f t="shared" si="239"/>
        <v>-34.57601260000001</v>
      </c>
      <c r="AM226" s="22">
        <v>945</v>
      </c>
      <c r="AN226">
        <v>-1041.2</v>
      </c>
      <c r="AO226">
        <v>79.4</v>
      </c>
      <c r="AP226">
        <v>-852.6</v>
      </c>
      <c r="AQ226">
        <v>-9.6</v>
      </c>
      <c r="AS226">
        <v>-945</v>
      </c>
      <c r="AT226">
        <v>-81.9</v>
      </c>
      <c r="AU226">
        <v>1011</v>
      </c>
      <c r="AV226">
        <v>101.9</v>
      </c>
      <c r="AW226">
        <v>925.4</v>
      </c>
      <c r="AY226" t="s">
        <v>13</v>
      </c>
    </row>
    <row r="227" spans="1:51" ht="16.5">
      <c r="A227" s="1">
        <v>42146</v>
      </c>
      <c r="B227" s="13">
        <v>94.240463</v>
      </c>
      <c r="C227" s="13">
        <v>72.956466</v>
      </c>
      <c r="D227">
        <v>22.22988</v>
      </c>
      <c r="E227">
        <v>0.85366332</v>
      </c>
      <c r="G227" s="13">
        <v>1983.1724</v>
      </c>
      <c r="H227" s="13">
        <v>1974.9709</v>
      </c>
      <c r="I227">
        <v>99.671739</v>
      </c>
      <c r="J227">
        <v>91.134583</v>
      </c>
      <c r="L227" s="13">
        <f t="shared" si="222"/>
        <v>94.240463</v>
      </c>
      <c r="M227" s="13">
        <f t="shared" si="223"/>
        <v>72.956466</v>
      </c>
      <c r="N227">
        <f t="shared" si="224"/>
        <v>22.22988</v>
      </c>
      <c r="O227">
        <f t="shared" si="225"/>
        <v>0.85366332</v>
      </c>
      <c r="Q227" s="13">
        <f t="shared" si="226"/>
        <v>1983.1724</v>
      </c>
      <c r="R227" s="13">
        <f t="shared" si="227"/>
        <v>1974.9709</v>
      </c>
      <c r="S227">
        <f t="shared" si="228"/>
        <v>99.671739</v>
      </c>
      <c r="T227">
        <f t="shared" si="229"/>
        <v>91.134583</v>
      </c>
      <c r="V227" s="7">
        <v>948.09337</v>
      </c>
      <c r="X227" s="2">
        <f t="shared" si="230"/>
        <v>-925.8634900000001</v>
      </c>
      <c r="Y227" s="2">
        <f t="shared" si="231"/>
        <v>-947.23970668</v>
      </c>
      <c r="Z227" s="2">
        <f t="shared" si="232"/>
        <v>1047.765109</v>
      </c>
      <c r="AA227" s="2">
        <f t="shared" si="233"/>
        <v>1039.227953</v>
      </c>
      <c r="AC227">
        <f t="shared" si="234"/>
        <v>46.835598340000104</v>
      </c>
      <c r="AD227">
        <f t="shared" si="235"/>
        <v>13.424468999999963</v>
      </c>
      <c r="AH227">
        <f t="shared" si="236"/>
        <v>-30.821907353000142</v>
      </c>
      <c r="AI227">
        <f t="shared" si="237"/>
        <v>-30.254323126000145</v>
      </c>
      <c r="AJ227">
        <f t="shared" si="238"/>
        <v>-34.215275399999996</v>
      </c>
      <c r="AK227">
        <f t="shared" si="239"/>
        <v>-34.296684899999946</v>
      </c>
      <c r="AM227" s="21">
        <v>930</v>
      </c>
      <c r="AN227">
        <f>-1025.1-15</f>
        <v>-1040.1</v>
      </c>
      <c r="AO227">
        <v>77.9</v>
      </c>
      <c r="AP227">
        <f>-838.3-15</f>
        <v>-853.3</v>
      </c>
      <c r="AQ227">
        <v>-8.2</v>
      </c>
      <c r="AS227">
        <v>-945</v>
      </c>
      <c r="AT227">
        <v>-81.2</v>
      </c>
      <c r="AU227">
        <v>1010</v>
      </c>
      <c r="AV227">
        <v>101</v>
      </c>
      <c r="AW227">
        <v>926.9</v>
      </c>
      <c r="AY227" t="s">
        <v>13</v>
      </c>
    </row>
    <row r="228" spans="1:51" ht="16.5">
      <c r="A228" s="1">
        <v>42154</v>
      </c>
      <c r="B228" s="13">
        <v>89.236092</v>
      </c>
      <c r="C228" s="13">
        <v>69.663066</v>
      </c>
      <c r="D228">
        <v>16.19084</v>
      </c>
      <c r="E228">
        <v>-3.4240794</v>
      </c>
      <c r="G228" s="13">
        <v>1985.1869</v>
      </c>
      <c r="H228" s="13">
        <v>1975.3847</v>
      </c>
      <c r="I228">
        <v>103.6451</v>
      </c>
      <c r="J228">
        <v>93.25521</v>
      </c>
      <c r="L228" s="13">
        <f t="shared" si="222"/>
        <v>89.236092</v>
      </c>
      <c r="M228" s="13">
        <f t="shared" si="223"/>
        <v>69.663066</v>
      </c>
      <c r="N228">
        <f t="shared" si="224"/>
        <v>16.19084</v>
      </c>
      <c r="O228">
        <f t="shared" si="225"/>
        <v>-3.4240794</v>
      </c>
      <c r="Q228" s="13">
        <f t="shared" si="226"/>
        <v>1985.1869</v>
      </c>
      <c r="R228" s="13">
        <f t="shared" si="227"/>
        <v>1975.3847</v>
      </c>
      <c r="S228">
        <f t="shared" si="228"/>
        <v>103.6451</v>
      </c>
      <c r="T228">
        <f t="shared" si="229"/>
        <v>93.25521</v>
      </c>
      <c r="V228" s="7">
        <v>946.74868</v>
      </c>
      <c r="X228" s="2">
        <f t="shared" si="230"/>
        <v>-930.55784</v>
      </c>
      <c r="Y228" s="2">
        <f t="shared" si="231"/>
        <v>-950.1727594</v>
      </c>
      <c r="Z228" s="2">
        <f t="shared" si="232"/>
        <v>1050.39378</v>
      </c>
      <c r="AA228" s="2">
        <f t="shared" si="233"/>
        <v>1040.00389</v>
      </c>
      <c r="AC228">
        <f t="shared" si="234"/>
        <v>50.649299700000086</v>
      </c>
      <c r="AD228">
        <f t="shared" si="235"/>
        <v>11.722164999999823</v>
      </c>
      <c r="AH228">
        <f t="shared" si="236"/>
        <v>-30.35675085200012</v>
      </c>
      <c r="AI228">
        <f t="shared" si="237"/>
        <v>-29.79188044600005</v>
      </c>
      <c r="AJ228">
        <f t="shared" si="238"/>
        <v>-33.66355389999978</v>
      </c>
      <c r="AK228">
        <f t="shared" si="239"/>
        <v>-33.947375700000066</v>
      </c>
      <c r="AM228" s="21">
        <v>930</v>
      </c>
      <c r="AN228">
        <f>-1024.2-15</f>
        <v>-1039.2</v>
      </c>
      <c r="AO228">
        <v>76.8</v>
      </c>
      <c r="AP228">
        <f>-839-15</f>
        <v>-854</v>
      </c>
      <c r="AQ228">
        <v>-7.4</v>
      </c>
      <c r="AS228">
        <v>-945</v>
      </c>
      <c r="AT228">
        <v>-80.5</v>
      </c>
      <c r="AU228">
        <v>1008.9</v>
      </c>
      <c r="AV228">
        <v>100.2</v>
      </c>
      <c r="AW228">
        <v>927.8</v>
      </c>
      <c r="AY228" t="s">
        <v>13</v>
      </c>
    </row>
    <row r="229" spans="1:39" ht="16.5">
      <c r="A229" s="1">
        <v>42173</v>
      </c>
      <c r="B229" s="13"/>
      <c r="C229" s="13"/>
      <c r="G229" s="13"/>
      <c r="H229" s="13"/>
      <c r="L229" s="13"/>
      <c r="M229" s="13"/>
      <c r="Q229" s="13"/>
      <c r="R229" s="13"/>
      <c r="V229" s="7"/>
      <c r="X229" s="2"/>
      <c r="Y229" s="2"/>
      <c r="Z229" s="2"/>
      <c r="AA229" s="2"/>
      <c r="AM229" s="21"/>
    </row>
    <row r="230" spans="1:51" ht="16.5">
      <c r="A230" s="1">
        <v>42188</v>
      </c>
      <c r="B230" s="13">
        <v>85.478062</v>
      </c>
      <c r="C230" s="13">
        <v>67.460897</v>
      </c>
      <c r="D230">
        <v>9.3784647</v>
      </c>
      <c r="E230">
        <v>-9.2986781</v>
      </c>
      <c r="G230" s="13">
        <v>1986.5417</v>
      </c>
      <c r="H230" s="13">
        <v>1974.9291</v>
      </c>
      <c r="I230">
        <v>108.51659</v>
      </c>
      <c r="J230">
        <v>96.739827</v>
      </c>
      <c r="L230" s="13">
        <f t="shared" si="222"/>
        <v>85.478062</v>
      </c>
      <c r="M230" s="13">
        <f t="shared" si="223"/>
        <v>67.460897</v>
      </c>
      <c r="N230">
        <f t="shared" si="224"/>
        <v>9.3784647</v>
      </c>
      <c r="O230">
        <f t="shared" si="225"/>
        <v>-9.2986781</v>
      </c>
      <c r="Q230" s="13">
        <f>G230+(AS230+945)</f>
        <v>1986.5417</v>
      </c>
      <c r="R230" s="13">
        <f>H230+(AS230+945)</f>
        <v>1974.9291</v>
      </c>
      <c r="S230">
        <f>I230+(AS230+945)</f>
        <v>108.51659</v>
      </c>
      <c r="T230">
        <f>J230+(AS230+945)</f>
        <v>96.739827</v>
      </c>
      <c r="V230" s="7">
        <v>943.8719</v>
      </c>
      <c r="X230" s="2">
        <f t="shared" si="230"/>
        <v>-934.4934353</v>
      </c>
      <c r="Y230" s="2">
        <f t="shared" si="231"/>
        <v>-953.1705781</v>
      </c>
      <c r="Z230" s="2">
        <f t="shared" si="232"/>
        <v>1052.38849</v>
      </c>
      <c r="AA230" s="2">
        <f t="shared" si="233"/>
        <v>1040.611727</v>
      </c>
      <c r="AC230">
        <f t="shared" si="234"/>
        <v>54.116006700000014</v>
      </c>
      <c r="AD230">
        <f t="shared" si="235"/>
        <v>10.42089150000007</v>
      </c>
      <c r="AH230">
        <f t="shared" si="236"/>
        <v>-30.417817222000053</v>
      </c>
      <c r="AI230">
        <f t="shared" si="237"/>
        <v>-30.519262907000098</v>
      </c>
      <c r="AJ230">
        <f t="shared" si="238"/>
        <v>-33.0656426999999</v>
      </c>
      <c r="AK230">
        <f t="shared" si="239"/>
        <v>-32.869815100000096</v>
      </c>
      <c r="AM230" s="21">
        <v>930</v>
      </c>
      <c r="AN230">
        <f>-1023.2-15</f>
        <v>-1038.2</v>
      </c>
      <c r="AO230">
        <v>76</v>
      </c>
      <c r="AP230">
        <f>-839.6-15</f>
        <v>-854.6</v>
      </c>
      <c r="AQ230">
        <v>-6.6</v>
      </c>
      <c r="AS230">
        <v>-945</v>
      </c>
      <c r="AT230">
        <v>-79.7</v>
      </c>
      <c r="AU230">
        <v>1008.2</v>
      </c>
      <c r="AV230">
        <v>99.9</v>
      </c>
      <c r="AW230">
        <v>928.8</v>
      </c>
      <c r="AY230" t="s">
        <v>13</v>
      </c>
    </row>
    <row r="231" spans="1:51" ht="16.5">
      <c r="A231" s="1">
        <v>42204</v>
      </c>
      <c r="B231" s="13">
        <v>90.597728</v>
      </c>
      <c r="C231" s="13">
        <v>68.941336</v>
      </c>
      <c r="D231">
        <v>16.511131</v>
      </c>
      <c r="E231">
        <v>-6.0290835</v>
      </c>
      <c r="G231" s="13">
        <v>1986.0778</v>
      </c>
      <c r="H231" s="13">
        <v>1976.9745</v>
      </c>
      <c r="I231">
        <v>105.2714</v>
      </c>
      <c r="J231">
        <v>96.025276</v>
      </c>
      <c r="L231" s="13">
        <f t="shared" si="222"/>
        <v>90.597728</v>
      </c>
      <c r="M231" s="13">
        <f t="shared" si="223"/>
        <v>68.941336</v>
      </c>
      <c r="N231">
        <f t="shared" si="224"/>
        <v>16.511131</v>
      </c>
      <c r="O231">
        <f t="shared" si="225"/>
        <v>-6.0290835</v>
      </c>
      <c r="Q231" s="13">
        <f>G231+(AS231+945)</f>
        <v>1986.0778</v>
      </c>
      <c r="R231" s="13">
        <f>H231+(AS231+945)</f>
        <v>1976.9745</v>
      </c>
      <c r="S231">
        <f>I231+(AS231+945)</f>
        <v>105.2714</v>
      </c>
      <c r="T231">
        <f>J231+(AS231+945)</f>
        <v>96.025276</v>
      </c>
      <c r="V231" s="7">
        <v>944.26577</v>
      </c>
      <c r="X231" s="2">
        <f t="shared" si="230"/>
        <v>-927.754639</v>
      </c>
      <c r="Y231" s="2">
        <f t="shared" si="231"/>
        <v>-950.2948534999999</v>
      </c>
      <c r="Z231" s="2">
        <f t="shared" si="232"/>
        <v>1049.53717</v>
      </c>
      <c r="AA231" s="2">
        <f t="shared" si="233"/>
        <v>1040.291046</v>
      </c>
      <c r="AC231">
        <f t="shared" si="234"/>
        <v>49.308746249999956</v>
      </c>
      <c r="AD231">
        <f t="shared" si="235"/>
        <v>12.006892000000025</v>
      </c>
      <c r="AH231">
        <f t="shared" si="236"/>
        <v>-28.957396568000036</v>
      </c>
      <c r="AI231">
        <f t="shared" si="237"/>
        <v>-29.169870916000036</v>
      </c>
      <c r="AJ231">
        <f t="shared" si="238"/>
        <v>-35.43868179999993</v>
      </c>
      <c r="AK231">
        <f t="shared" si="239"/>
        <v>-35.29930349999995</v>
      </c>
      <c r="AM231" s="21">
        <v>900</v>
      </c>
      <c r="AS231">
        <v>-945</v>
      </c>
      <c r="AT231">
        <v>-81.2</v>
      </c>
      <c r="AU231">
        <v>1009.7</v>
      </c>
      <c r="AV231">
        <v>102</v>
      </c>
      <c r="AW231">
        <v>927.8</v>
      </c>
      <c r="AY231" t="s">
        <v>13</v>
      </c>
    </row>
    <row r="232" spans="1:51" ht="16.5">
      <c r="A232" s="1">
        <v>42211</v>
      </c>
      <c r="B232" s="13"/>
      <c r="C232" s="13"/>
      <c r="G232" s="13"/>
      <c r="H232" s="13"/>
      <c r="L232" s="13"/>
      <c r="M232" s="13"/>
      <c r="Q232" s="13"/>
      <c r="R232" s="13"/>
      <c r="V232" s="7"/>
      <c r="X232" s="2"/>
      <c r="Y232" s="2"/>
      <c r="Z232" s="2"/>
      <c r="AA232" s="2"/>
      <c r="AM232" s="21"/>
      <c r="AS232">
        <v>-945</v>
      </c>
      <c r="AT232">
        <v>-82</v>
      </c>
      <c r="AU232">
        <v>1010.7</v>
      </c>
      <c r="AV232">
        <v>102.9</v>
      </c>
      <c r="AW232">
        <v>926.6</v>
      </c>
      <c r="AY232" t="s">
        <v>13</v>
      </c>
    </row>
    <row r="233" spans="1:39" ht="16.5">
      <c r="A233" s="1">
        <v>42218</v>
      </c>
      <c r="B233" s="13"/>
      <c r="C233" s="13"/>
      <c r="G233" s="13"/>
      <c r="H233" s="13"/>
      <c r="L233" s="13"/>
      <c r="M233" s="13"/>
      <c r="Q233" s="13"/>
      <c r="R233" s="13"/>
      <c r="V233" s="7"/>
      <c r="X233" s="2"/>
      <c r="Y233" s="2"/>
      <c r="Z233" s="2"/>
      <c r="AA233" s="2"/>
      <c r="AM233" s="21"/>
    </row>
    <row r="234" spans="1:51" ht="16.5">
      <c r="A234" s="1">
        <v>42224</v>
      </c>
      <c r="B234" s="13">
        <v>113.27678</v>
      </c>
      <c r="C234" s="13">
        <v>81.161522</v>
      </c>
      <c r="D234">
        <v>40.018697</v>
      </c>
      <c r="E234">
        <v>7.0866277</v>
      </c>
      <c r="G234" s="13">
        <v>1974.9725</v>
      </c>
      <c r="H234" s="13">
        <v>1976.1881</v>
      </c>
      <c r="I234">
        <v>92.592554</v>
      </c>
      <c r="J234">
        <v>93.530487</v>
      </c>
      <c r="L234" s="13">
        <f>B234</f>
        <v>113.27678</v>
      </c>
      <c r="M234" s="13">
        <f>C234</f>
        <v>81.161522</v>
      </c>
      <c r="N234">
        <f>D234</f>
        <v>40.018697</v>
      </c>
      <c r="O234">
        <f>E234</f>
        <v>7.0866277</v>
      </c>
      <c r="Q234" s="13">
        <f>G234+(AS234+945)</f>
        <v>1974.9725</v>
      </c>
      <c r="R234" s="13">
        <f>H234+(AS234+945)</f>
        <v>1976.1881</v>
      </c>
      <c r="S234">
        <f>I234+(AS234+945)</f>
        <v>92.592554</v>
      </c>
      <c r="T234">
        <f>J234+(AS234+945)</f>
        <v>93.530487</v>
      </c>
      <c r="V234" s="7">
        <v>946.29498</v>
      </c>
      <c r="X234" s="2">
        <f>N234-V234</f>
        <v>-906.276283</v>
      </c>
      <c r="Y234" s="2">
        <f>O234-V234</f>
        <v>-939.2083523</v>
      </c>
      <c r="Z234" s="2">
        <f>S234+V234</f>
        <v>1038.887534</v>
      </c>
      <c r="AA234" s="2">
        <f>T234+V234</f>
        <v>1039.8254670000001</v>
      </c>
      <c r="AC234">
        <f>1.56-((X234+Y234)/2-(-891.276))</f>
        <v>33.02631765000007</v>
      </c>
      <c r="AD234">
        <f>11.16-((Z234+AA234)/2-1045.761)</f>
        <v>17.56449949999993</v>
      </c>
      <c r="AH234">
        <f>(X234-1024*0.0545)-(L234-1024+7.5)*1.031</f>
        <v>-30.861143180000113</v>
      </c>
      <c r="AI234">
        <f>(Y234-1024*0.0545)-(M234-1024+7.5)*1.031</f>
        <v>-30.682381482000096</v>
      </c>
      <c r="AJ234">
        <f>(Z234-2048*0.0545)-(Q234-1024-15.56)*1.031+2.5</f>
        <v>-34.63875350000012</v>
      </c>
      <c r="AK234">
        <f>(AA234-2048*0.0545)-(R234-1024-15.56)*1.031+2.5</f>
        <v>-34.95410409999988</v>
      </c>
      <c r="AM234" s="21">
        <v>930</v>
      </c>
      <c r="AN234">
        <f>-1030.1-15</f>
        <v>-1045.1</v>
      </c>
      <c r="AO234">
        <v>82.6</v>
      </c>
      <c r="AP234">
        <f>-832.2-15</f>
        <v>-847.2</v>
      </c>
      <c r="AQ234">
        <v>-12.7</v>
      </c>
      <c r="AS234">
        <v>-945</v>
      </c>
      <c r="AT234">
        <v>-86.2</v>
      </c>
      <c r="AU234">
        <v>1014.9</v>
      </c>
      <c r="AV234">
        <v>107.5</v>
      </c>
      <c r="AW234">
        <v>922.5</v>
      </c>
      <c r="AY234" t="s">
        <v>13</v>
      </c>
    </row>
    <row r="235" spans="1:49" ht="16.5">
      <c r="A235" s="1">
        <v>42228</v>
      </c>
      <c r="B235" s="13">
        <v>120.19259</v>
      </c>
      <c r="C235" s="13">
        <v>85.400836</v>
      </c>
      <c r="D235">
        <v>47.984177</v>
      </c>
      <c r="E235">
        <v>12.044516</v>
      </c>
      <c r="G235" s="13">
        <v>1972.5247</v>
      </c>
      <c r="H235" s="13">
        <v>1976.2761</v>
      </c>
      <c r="I235">
        <v>88.809993</v>
      </c>
      <c r="J235">
        <v>92.784917</v>
      </c>
      <c r="L235" s="13">
        <f>B235</f>
        <v>120.19259</v>
      </c>
      <c r="M235" s="13">
        <f>C235</f>
        <v>85.400836</v>
      </c>
      <c r="N235">
        <f>D235</f>
        <v>47.984177</v>
      </c>
      <c r="O235">
        <f>E235</f>
        <v>12.044516</v>
      </c>
      <c r="Q235" s="13">
        <f>G235+(AS235+945)</f>
        <v>1972.5247</v>
      </c>
      <c r="R235" s="13">
        <f>H235+(AS235+945)</f>
        <v>1976.2761</v>
      </c>
      <c r="S235">
        <f>I235+(AS235+945)</f>
        <v>88.809993</v>
      </c>
      <c r="T235">
        <f>J235+(AS235+945)</f>
        <v>92.784917</v>
      </c>
      <c r="V235" s="7">
        <v>946.89311</v>
      </c>
      <c r="X235" s="2">
        <f>N235-V235</f>
        <v>-898.9089329999999</v>
      </c>
      <c r="Y235" s="2">
        <f>O235-V235</f>
        <v>-934.8485939999999</v>
      </c>
      <c r="Z235" s="2">
        <f>S235+V235</f>
        <v>1035.703103</v>
      </c>
      <c r="AA235" s="2">
        <f>T235+V235</f>
        <v>1039.678027</v>
      </c>
      <c r="AC235">
        <f>1.56-((X235+Y235)/2-(-891.276))</f>
        <v>27.162763499999922</v>
      </c>
      <c r="AD235">
        <f>11.16-((Z235+AA235)/2-1045.761)</f>
        <v>19.23043500000009</v>
      </c>
      <c r="AH235">
        <f>(X235-1024*0.0545)-(L235-1024+7.5)*1.031</f>
        <v>-30.623993290000044</v>
      </c>
      <c r="AI235">
        <f>(Y235-1024*0.0545)-(M235-1024+7.5)*1.031</f>
        <v>-30.693355916000087</v>
      </c>
      <c r="AJ235">
        <f>(Z235-2048*0.0545)-(Q235-1024-15.56)*1.031+2.5</f>
        <v>-35.299502699999834</v>
      </c>
      <c r="AK235">
        <f>(AA235-2048*0.0545)-(R235-1024-15.56)*1.031+2.5</f>
        <v>-35.19227210000008</v>
      </c>
      <c r="AM235" s="21">
        <v>930</v>
      </c>
      <c r="AN235">
        <f>-1031.7-15</f>
        <v>-1046.7</v>
      </c>
      <c r="AO235">
        <v>84.2</v>
      </c>
      <c r="AP235">
        <f>-830.9-15</f>
        <v>-845.9</v>
      </c>
      <c r="AQ235">
        <v>-14.2</v>
      </c>
      <c r="AS235">
        <v>-945</v>
      </c>
      <c r="AT235">
        <v>-87.8</v>
      </c>
      <c r="AU235">
        <v>1016.2</v>
      </c>
      <c r="AV235">
        <v>109</v>
      </c>
      <c r="AW235">
        <v>921</v>
      </c>
    </row>
    <row r="236" spans="1:49" ht="16.5">
      <c r="A236" s="1">
        <v>42233</v>
      </c>
      <c r="B236" s="13">
        <v>120.42636</v>
      </c>
      <c r="C236" s="13">
        <v>85.222404</v>
      </c>
      <c r="D236">
        <v>49.388513</v>
      </c>
      <c r="E236">
        <v>13.259429</v>
      </c>
      <c r="G236" s="13">
        <v>1971.8712</v>
      </c>
      <c r="H236" s="13">
        <v>1976.0062</v>
      </c>
      <c r="I236">
        <v>87.303969</v>
      </c>
      <c r="J236">
        <v>91.459212</v>
      </c>
      <c r="L236" s="13">
        <f>B236</f>
        <v>120.42636</v>
      </c>
      <c r="M236" s="13">
        <f>C236</f>
        <v>85.222404</v>
      </c>
      <c r="N236">
        <f>D236</f>
        <v>49.388513</v>
      </c>
      <c r="O236">
        <f>E236</f>
        <v>13.259429</v>
      </c>
      <c r="Q236" s="13">
        <f>G236+(AS236+945)</f>
        <v>1971.8712</v>
      </c>
      <c r="R236" s="13">
        <f>H236+(AS236+945)</f>
        <v>1976.0062</v>
      </c>
      <c r="S236">
        <f>I236+(AS236+945)</f>
        <v>87.303969</v>
      </c>
      <c r="T236">
        <f>J236+(AS236+945)</f>
        <v>91.459212</v>
      </c>
      <c r="V236" s="7">
        <v>947.72366</v>
      </c>
      <c r="X236" s="2">
        <f>N236-V236</f>
        <v>-898.335147</v>
      </c>
      <c r="Y236" s="2">
        <f>O236-V236</f>
        <v>-934.464231</v>
      </c>
      <c r="Z236" s="2">
        <f>S236+V236</f>
        <v>1035.027629</v>
      </c>
      <c r="AA236" s="2">
        <f>T236+V236</f>
        <v>1039.182872</v>
      </c>
      <c r="AC236">
        <f>1.56-((X236+Y236)/2-(-891.276))</f>
        <v>26.683689000000125</v>
      </c>
      <c r="AD236">
        <f>11.16-((Z236+AA236)/2-1045.761)</f>
        <v>19.815749499999956</v>
      </c>
      <c r="AH236">
        <f>(X236-1024*0.0545)-(L236-1024+7.5)*1.031</f>
        <v>-30.29122416000007</v>
      </c>
      <c r="AI236">
        <f>(Y236-1024*0.0545)-(M236-1024+7.5)*1.031</f>
        <v>-30.12502952400007</v>
      </c>
      <c r="AJ236">
        <f>(Z236-2048*0.0545)-(Q236-1024-15.56)*1.031+2.5</f>
        <v>-35.30121820000011</v>
      </c>
      <c r="AK236">
        <f>(AA236-2048*0.0545)-(R236-1024-15.56)*1.031+2.5</f>
        <v>-35.40916019999986</v>
      </c>
      <c r="AM236" s="21">
        <v>930</v>
      </c>
      <c r="AN236">
        <f>-1031.7-15</f>
        <v>-1046.7</v>
      </c>
      <c r="AO236">
        <v>84.2</v>
      </c>
      <c r="AP236">
        <f>-830.5-15</f>
        <v>-845.5</v>
      </c>
      <c r="AQ236">
        <v>-14.5</v>
      </c>
      <c r="AS236">
        <v>-945</v>
      </c>
      <c r="AT236">
        <v>-88</v>
      </c>
      <c r="AU236">
        <v>1016.4</v>
      </c>
      <c r="AV236">
        <v>109</v>
      </c>
      <c r="AW236">
        <v>920.8</v>
      </c>
    </row>
    <row r="237" spans="1:49" ht="16.5">
      <c r="A237" s="1">
        <v>42269</v>
      </c>
      <c r="B237" s="13">
        <v>122.27536</v>
      </c>
      <c r="C237" s="13">
        <v>86.526189</v>
      </c>
      <c r="D237">
        <v>59.179158</v>
      </c>
      <c r="E237">
        <v>22.30618</v>
      </c>
      <c r="G237" s="13">
        <v>1971.3803</v>
      </c>
      <c r="H237" s="13">
        <v>1976.4411</v>
      </c>
      <c r="I237">
        <v>78.291246</v>
      </c>
      <c r="J237">
        <v>83.579133</v>
      </c>
      <c r="L237" s="13">
        <f>B237</f>
        <v>122.27536</v>
      </c>
      <c r="M237" s="13">
        <f>C237</f>
        <v>86.526189</v>
      </c>
      <c r="N237">
        <f>D237</f>
        <v>59.179158</v>
      </c>
      <c r="O237">
        <f>E237</f>
        <v>22.30618</v>
      </c>
      <c r="Q237" s="13">
        <f>G237+(AS237+945)</f>
        <v>1971.3803</v>
      </c>
      <c r="R237" s="13">
        <f>H237+(AS237+945)</f>
        <v>1976.4411</v>
      </c>
      <c r="S237">
        <f>I237+(AS237+945)</f>
        <v>78.291246</v>
      </c>
      <c r="T237">
        <f>J237+(AS237+945)</f>
        <v>83.579133</v>
      </c>
      <c r="V237" s="7">
        <v>955.87693</v>
      </c>
      <c r="X237" s="2">
        <f>N237-V237</f>
        <v>-896.697772</v>
      </c>
      <c r="Y237" s="2">
        <f>O237-V237</f>
        <v>-933.57075</v>
      </c>
      <c r="Z237" s="2">
        <f>S237+V237</f>
        <v>1034.1681760000001</v>
      </c>
      <c r="AA237" s="2">
        <f>T237+V237</f>
        <v>1039.456063</v>
      </c>
      <c r="AC237">
        <f>1.56-((X237+Y237)/2-(-891.276))</f>
        <v>25.41826099999997</v>
      </c>
      <c r="AD237">
        <f>11.16-((Z237+AA237)/2-1045.761)</f>
        <v>20.10888049999986</v>
      </c>
      <c r="AH237">
        <f>(X237-1024*0.0545)-(L237-1024+7.5)*1.031</f>
        <v>-30.56016815999999</v>
      </c>
      <c r="AI237">
        <f>(Y237-1024*0.0545)-(M237-1024+7.5)*1.031</f>
        <v>-30.575750859000095</v>
      </c>
      <c r="AJ237">
        <f>(Z237-2048*0.0545)-(Q237-1024-15.56)*1.031+2.5</f>
        <v>-35.65455329999986</v>
      </c>
      <c r="AK237">
        <f>(AA237-2048*0.0545)-(R237-1024-15.56)*1.031+2.5</f>
        <v>-35.584351099999935</v>
      </c>
      <c r="AM237" s="21">
        <v>930</v>
      </c>
      <c r="AN237">
        <f>-1031.8-15</f>
        <v>-1046.8</v>
      </c>
      <c r="AO237">
        <v>85.1</v>
      </c>
      <c r="AP237">
        <f>-830.2-15</f>
        <v>-845.2</v>
      </c>
      <c r="AQ237">
        <v>-14.8</v>
      </c>
      <c r="AS237">
        <v>-945</v>
      </c>
      <c r="AT237">
        <v>-88.5</v>
      </c>
      <c r="AU237">
        <v>1017.1</v>
      </c>
      <c r="AV237">
        <v>109.6</v>
      </c>
      <c r="AW237">
        <v>920.3</v>
      </c>
    </row>
    <row r="238" spans="1:49" ht="16.5">
      <c r="A238" s="1">
        <v>42302</v>
      </c>
      <c r="B238" s="13">
        <v>124.66131</v>
      </c>
      <c r="C238" s="13">
        <v>87.57407</v>
      </c>
      <c r="D238">
        <v>71.787582</v>
      </c>
      <c r="E238">
        <v>33.484191</v>
      </c>
      <c r="G238" s="13">
        <v>1970.8213</v>
      </c>
      <c r="H238" s="13">
        <v>1977.1387</v>
      </c>
      <c r="I238">
        <v>67.756258</v>
      </c>
      <c r="J238">
        <v>74.240999</v>
      </c>
      <c r="L238" s="13">
        <f>B238</f>
        <v>124.66131</v>
      </c>
      <c r="M238" s="13">
        <f>C238</f>
        <v>87.57407</v>
      </c>
      <c r="N238">
        <f>D238</f>
        <v>71.787582</v>
      </c>
      <c r="O238">
        <f>E238</f>
        <v>33.484191</v>
      </c>
      <c r="Q238" s="13">
        <f>G238+(AS238+945)</f>
        <v>1970.8213</v>
      </c>
      <c r="R238" s="13">
        <f>H238+(AS238+945)</f>
        <v>1977.1387</v>
      </c>
      <c r="S238">
        <f>I238+(AS238+945)</f>
        <v>67.756258</v>
      </c>
      <c r="T238">
        <f>J238+(AS238+945)</f>
        <v>74.240999</v>
      </c>
      <c r="V238" s="7">
        <v>964.86447</v>
      </c>
      <c r="X238" s="2">
        <f>N238-V238</f>
        <v>-893.0768879999999</v>
      </c>
      <c r="Y238" s="2">
        <f>O238-V238</f>
        <v>-931.380279</v>
      </c>
      <c r="Z238" s="2">
        <f>S238+V238</f>
        <v>1032.6207279999999</v>
      </c>
      <c r="AA238" s="2">
        <f>T238+V238</f>
        <v>1039.105469</v>
      </c>
      <c r="AC238">
        <f>1.56-((X238+Y238)/2-(-891.276))</f>
        <v>22.51258350000006</v>
      </c>
      <c r="AD238">
        <f>11.16-((Z238+AA238)/2-1045.761)</f>
        <v>21.05790149999999</v>
      </c>
      <c r="AH238">
        <f>(X238-1024*0.0545)-(L238-1024+7.5)*1.031</f>
        <v>-29.399198609999985</v>
      </c>
      <c r="AI238">
        <f>(Y238-1024*0.0545)-(M238-1024+7.5)*1.031</f>
        <v>-29.465645170000016</v>
      </c>
      <c r="AJ238">
        <f>(Z238-2048*0.0545)-(Q238-1024-15.56)*1.031+2.5</f>
        <v>-36.62567230000013</v>
      </c>
      <c r="AK238">
        <f>(AA238-2048*0.0545)-(R238-1024-15.56)*1.031+2.5</f>
        <v>-36.654170699999895</v>
      </c>
      <c r="AM238" s="21">
        <v>930</v>
      </c>
      <c r="AN238">
        <f>-1032.6-15</f>
        <v>-1047.6</v>
      </c>
      <c r="AO238">
        <v>85.5</v>
      </c>
      <c r="AP238">
        <f>-830.8-15</f>
        <v>-845.8</v>
      </c>
      <c r="AQ238">
        <v>-15.4</v>
      </c>
      <c r="AS238">
        <v>-945</v>
      </c>
      <c r="AT238">
        <v>-89.4</v>
      </c>
      <c r="AU238">
        <v>1017.8</v>
      </c>
      <c r="AV238">
        <v>110</v>
      </c>
      <c r="AW238">
        <v>919.8</v>
      </c>
    </row>
    <row r="239" spans="24:30" ht="16.5">
      <c r="X239" s="7"/>
      <c r="Y239" s="7"/>
      <c r="Z239" s="7"/>
      <c r="AA239" s="7"/>
      <c r="AB239" s="7"/>
      <c r="AC239" s="7"/>
      <c r="AD239" s="7"/>
    </row>
    <row r="240" spans="24:30" ht="16.5">
      <c r="X240" s="7"/>
      <c r="Y240" s="7"/>
      <c r="Z240" s="7"/>
      <c r="AA240" s="7"/>
      <c r="AB240" s="7"/>
      <c r="AC240" s="7"/>
      <c r="AD240" s="7"/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workbookViewId="0" topLeftCell="A1">
      <pane ySplit="6720" topLeftCell="BM28" activePane="topLeft" state="split"/>
      <selection pane="topLeft" activeCell="D23" sqref="D23"/>
      <selection pane="bottomLeft" activeCell="AM19" sqref="AM19"/>
    </sheetView>
  </sheetViews>
  <sheetFormatPr defaultColWidth="8.875" defaultRowHeight="13.5"/>
  <cols>
    <col min="1" max="1" width="11.00390625" style="0" bestFit="1" customWidth="1"/>
    <col min="2" max="5" width="8.875" style="0" customWidth="1"/>
    <col min="6" max="6" width="35.125" style="0" customWidth="1"/>
  </cols>
  <sheetData>
    <row r="1" ht="16.5">
      <c r="B1" t="s">
        <v>48</v>
      </c>
    </row>
    <row r="3" spans="2:12" ht="16.5">
      <c r="B3" t="s">
        <v>73</v>
      </c>
      <c r="D3" t="s">
        <v>85</v>
      </c>
      <c r="G3" t="s">
        <v>73</v>
      </c>
      <c r="I3" t="s">
        <v>85</v>
      </c>
      <c r="L3" t="s">
        <v>141</v>
      </c>
    </row>
    <row r="4" spans="2:12" ht="16.5">
      <c r="B4" s="12" t="s">
        <v>21</v>
      </c>
      <c r="C4" t="s">
        <v>150</v>
      </c>
      <c r="D4" s="12" t="s">
        <v>107</v>
      </c>
      <c r="E4" t="s">
        <v>108</v>
      </c>
      <c r="G4" s="12" t="s">
        <v>108</v>
      </c>
      <c r="H4" t="s">
        <v>107</v>
      </c>
      <c r="I4" s="12" t="s">
        <v>108</v>
      </c>
      <c r="J4" t="s">
        <v>22</v>
      </c>
      <c r="L4" s="7">
        <v>975.43294</v>
      </c>
    </row>
    <row r="5" spans="2:12" ht="16.5">
      <c r="B5" t="s">
        <v>49</v>
      </c>
      <c r="D5" t="s">
        <v>83</v>
      </c>
      <c r="G5" t="s">
        <v>49</v>
      </c>
      <c r="I5" t="s">
        <v>83</v>
      </c>
      <c r="L5">
        <f>L4-945</f>
        <v>30.43294000000003</v>
      </c>
    </row>
    <row r="6" ht="16.5">
      <c r="B6" t="s">
        <v>20</v>
      </c>
    </row>
    <row r="7" spans="2:7" ht="16.5">
      <c r="B7" t="s">
        <v>111</v>
      </c>
      <c r="G7" t="s">
        <v>23</v>
      </c>
    </row>
    <row r="9" spans="1:15" ht="16.5">
      <c r="A9" s="1">
        <v>39437</v>
      </c>
      <c r="B9">
        <v>122</v>
      </c>
      <c r="C9">
        <v>1078</v>
      </c>
      <c r="D9">
        <v>84</v>
      </c>
      <c r="E9" t="s">
        <v>88</v>
      </c>
      <c r="G9">
        <v>1984.5</v>
      </c>
      <c r="H9">
        <v>1048</v>
      </c>
      <c r="I9">
        <v>70.5</v>
      </c>
      <c r="J9" t="s">
        <v>88</v>
      </c>
      <c r="L9" s="7"/>
      <c r="M9" s="7"/>
      <c r="N9" s="4"/>
      <c r="O9" s="4"/>
    </row>
    <row r="10" spans="1:15" ht="16.5">
      <c r="A10" s="1"/>
      <c r="D10">
        <f>D9-1024*0.053</f>
        <v>29.728</v>
      </c>
      <c r="I10">
        <f>I9-2048*0.053</f>
        <v>-38.044</v>
      </c>
      <c r="L10" s="7"/>
      <c r="M10" s="7"/>
      <c r="N10" s="7"/>
      <c r="O10" s="7"/>
    </row>
    <row r="11" spans="1:15" ht="16.5">
      <c r="A11" s="1"/>
      <c r="L11" s="7"/>
      <c r="M11" s="7"/>
      <c r="N11" s="7"/>
      <c r="O11" s="7"/>
    </row>
    <row r="12" spans="1:15" ht="16.5">
      <c r="A12" s="1"/>
      <c r="L12" s="7"/>
      <c r="M12" s="7"/>
      <c r="N12" s="7"/>
      <c r="O12" s="7"/>
    </row>
    <row r="13" spans="2:7" ht="16.5">
      <c r="B13" t="s">
        <v>110</v>
      </c>
      <c r="G13" t="s">
        <v>109</v>
      </c>
    </row>
    <row r="14" spans="2:10" ht="16.5">
      <c r="B14">
        <v>1957</v>
      </c>
      <c r="C14">
        <v>1057</v>
      </c>
      <c r="D14">
        <v>22</v>
      </c>
      <c r="E14" t="s">
        <v>88</v>
      </c>
      <c r="G14">
        <v>148.5</v>
      </c>
      <c r="H14">
        <v>1029</v>
      </c>
      <c r="I14">
        <v>131</v>
      </c>
      <c r="J14" t="s">
        <v>88</v>
      </c>
    </row>
    <row r="15" spans="4:9" ht="16.5">
      <c r="D15">
        <f>D14-1024*0.053</f>
        <v>-32.272</v>
      </c>
      <c r="I15">
        <f>I14-2048*0.053</f>
        <v>22.456000000000003</v>
      </c>
    </row>
    <row r="17" spans="4:10" ht="16.5">
      <c r="D17">
        <f>(D10-D15)/2</f>
        <v>31</v>
      </c>
      <c r="I17">
        <f>(I15-I10)/2</f>
        <v>30.25</v>
      </c>
      <c r="J17" t="s">
        <v>16</v>
      </c>
    </row>
    <row r="19" ht="16.5">
      <c r="B19" t="s">
        <v>24</v>
      </c>
    </row>
    <row r="20" spans="2:9" ht="16.5">
      <c r="B20" s="7">
        <f>(B14+B9)/2</f>
        <v>1039.5</v>
      </c>
      <c r="C20">
        <f>(C9+C14)/2</f>
        <v>1067.5</v>
      </c>
      <c r="D20" s="12">
        <f>(D15+D10)/2</f>
        <v>-1.2719999999999985</v>
      </c>
      <c r="G20" s="7">
        <f>(G9+G14)/2</f>
        <v>1066.5</v>
      </c>
      <c r="H20">
        <f>(H9+H14)/2</f>
        <v>1038.5</v>
      </c>
      <c r="I20" s="12">
        <f>(I15+I10)/2</f>
        <v>-7.793999999999997</v>
      </c>
    </row>
    <row r="21" spans="2:9" ht="16.5">
      <c r="B21" s="12">
        <f>(B20-1023.5)*1.032-(23.1-7.75)</f>
        <v>1.161999999999999</v>
      </c>
      <c r="D21" t="s">
        <v>50</v>
      </c>
      <c r="G21" s="12">
        <f>(G20-1023.5)*1.032-(36.6+16.06)</f>
        <v>-8.283999999999992</v>
      </c>
      <c r="I21" t="s">
        <v>17</v>
      </c>
    </row>
    <row r="22" spans="2:7" ht="16.5">
      <c r="B22" t="s">
        <v>18</v>
      </c>
      <c r="G22" t="s">
        <v>51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86"/>
  <sheetViews>
    <sheetView zoomScale="75" zoomScaleNormal="75" workbookViewId="0" topLeftCell="A55">
      <pane xSplit="4440" ySplit="2060" topLeftCell="A88" activePane="bottomRight" state="split"/>
      <selection pane="topLeft" activeCell="V57" sqref="A57:IV57"/>
      <selection pane="topRight" activeCell="AC41" sqref="AC41"/>
      <selection pane="bottomLeft" activeCell="A62" sqref="A62:AW66"/>
      <selection pane="bottomRight" activeCell="H97" sqref="A97:H122"/>
    </sheetView>
  </sheetViews>
  <sheetFormatPr defaultColWidth="8.875" defaultRowHeight="13.5"/>
  <cols>
    <col min="1" max="1" width="14.875" style="0" customWidth="1"/>
    <col min="2" max="2" width="10.875" style="0" customWidth="1"/>
    <col min="3" max="5" width="9.50390625" style="0" customWidth="1"/>
    <col min="6" max="6" width="8.875" style="0" customWidth="1"/>
    <col min="7" max="8" width="9.875" style="0" customWidth="1"/>
    <col min="9" max="10" width="9.625" style="0" customWidth="1"/>
    <col min="11" max="11" width="8.875" style="0" customWidth="1"/>
    <col min="12" max="15" width="9.125" style="0" customWidth="1"/>
    <col min="16" max="16" width="8.875" style="0" customWidth="1"/>
    <col min="17" max="20" width="9.125" style="0" customWidth="1"/>
    <col min="21" max="21" width="8.875" style="0" customWidth="1"/>
    <col min="22" max="22" width="9.50390625" style="0" customWidth="1"/>
    <col min="23" max="23" width="8.875" style="0" customWidth="1"/>
    <col min="24" max="27" width="9.125" style="0" customWidth="1"/>
    <col min="28" max="28" width="8.875" style="0" customWidth="1"/>
    <col min="29" max="29" width="11.125" style="0" customWidth="1"/>
    <col min="30" max="30" width="9.50390625" style="0" customWidth="1"/>
    <col min="31" max="33" width="8.875" style="0" customWidth="1"/>
    <col min="34" max="37" width="9.125" style="0" customWidth="1"/>
    <col min="38" max="38" width="8.875" style="0" customWidth="1"/>
    <col min="39" max="39" width="9.125" style="0" customWidth="1"/>
    <col min="40" max="40" width="9.625" style="0" customWidth="1"/>
    <col min="41" max="43" width="9.125" style="0" customWidth="1"/>
    <col min="44" max="44" width="1.4921875" style="0" customWidth="1"/>
    <col min="45" max="49" width="9.125" style="0" customWidth="1"/>
    <col min="50" max="52" width="8.875" style="0" customWidth="1"/>
    <col min="53" max="56" width="9.125" style="0" customWidth="1"/>
    <col min="57" max="57" width="8.875" style="0" customWidth="1"/>
    <col min="58" max="58" width="7.125" style="0" customWidth="1"/>
    <col min="59" max="60" width="8.625" style="0" customWidth="1"/>
    <col min="61" max="61" width="6.00390625" style="0" customWidth="1"/>
    <col min="62" max="62" width="6.375" style="0" customWidth="1"/>
    <col min="63" max="63" width="5.875" style="0" customWidth="1"/>
    <col min="64" max="64" width="6.50390625" style="0" customWidth="1"/>
    <col min="65" max="65" width="5.00390625" style="0" customWidth="1"/>
    <col min="66" max="66" width="5.125" style="0" customWidth="1"/>
    <col min="67" max="67" width="3.00390625" style="0" customWidth="1"/>
    <col min="68" max="68" width="8.875" style="0" customWidth="1"/>
    <col min="69" max="69" width="9.875" style="0" customWidth="1"/>
    <col min="70" max="70" width="2.125" style="0" customWidth="1"/>
    <col min="71" max="71" width="9.875" style="0" customWidth="1"/>
    <col min="72" max="72" width="9.125" style="0" customWidth="1"/>
    <col min="73" max="73" width="1.625" style="0" customWidth="1"/>
    <col min="74" max="75" width="9.125" style="0" customWidth="1"/>
    <col min="76" max="76" width="1.625" style="0" customWidth="1"/>
    <col min="77" max="77" width="9.875" style="0" customWidth="1"/>
    <col min="78" max="78" width="9.625" style="0" customWidth="1"/>
    <col min="79" max="79" width="9.375" style="0" customWidth="1"/>
    <col min="80" max="80" width="9.125" style="0" customWidth="1"/>
    <col min="81" max="81" width="3.50390625" style="0" customWidth="1"/>
    <col min="82" max="85" width="8.875" style="0" customWidth="1"/>
    <col min="86" max="86" width="3.375" style="0" customWidth="1"/>
  </cols>
  <sheetData>
    <row r="1" spans="2:90" ht="16.5">
      <c r="B1" t="s">
        <v>96</v>
      </c>
      <c r="L1" t="s">
        <v>97</v>
      </c>
      <c r="AC1" t="s">
        <v>59</v>
      </c>
      <c r="AH1" s="2" t="s">
        <v>66</v>
      </c>
      <c r="AI1" s="2"/>
      <c r="AJ1" s="2"/>
      <c r="AK1" s="2"/>
      <c r="BA1" t="s">
        <v>44</v>
      </c>
      <c r="BF1" t="s">
        <v>30</v>
      </c>
      <c r="BP1" t="s">
        <v>139</v>
      </c>
      <c r="BY1" s="16" t="s">
        <v>65</v>
      </c>
      <c r="BZ1" s="16"/>
      <c r="CA1" s="16"/>
      <c r="CB1" s="16"/>
      <c r="CD1" s="2" t="s">
        <v>67</v>
      </c>
      <c r="CE1" s="2"/>
      <c r="CF1" s="2"/>
      <c r="CG1" s="2"/>
      <c r="CI1" s="2" t="s">
        <v>68</v>
      </c>
      <c r="CJ1" s="2"/>
      <c r="CK1" s="2"/>
      <c r="CL1" s="2"/>
    </row>
    <row r="2" spans="2:89" ht="52.5">
      <c r="B2" t="s">
        <v>60</v>
      </c>
      <c r="G2" t="s">
        <v>61</v>
      </c>
      <c r="L2" t="s">
        <v>60</v>
      </c>
      <c r="Q2" t="s">
        <v>61</v>
      </c>
      <c r="X2" t="s">
        <v>60</v>
      </c>
      <c r="Z2" t="s">
        <v>61</v>
      </c>
      <c r="AC2" t="s">
        <v>60</v>
      </c>
      <c r="AD2" t="s">
        <v>61</v>
      </c>
      <c r="AH2" t="s">
        <v>60</v>
      </c>
      <c r="AJ2" t="s">
        <v>61</v>
      </c>
      <c r="AM2" t="s">
        <v>62</v>
      </c>
      <c r="BA2" t="s">
        <v>60</v>
      </c>
      <c r="BC2" t="s">
        <v>61</v>
      </c>
      <c r="BE2" s="14"/>
      <c r="BF2" s="14" t="s">
        <v>32</v>
      </c>
      <c r="BG2" s="14" t="s">
        <v>33</v>
      </c>
      <c r="BH2" s="14" t="s">
        <v>34</v>
      </c>
      <c r="BI2" s="14" t="s">
        <v>35</v>
      </c>
      <c r="BJ2" s="14" t="s">
        <v>159</v>
      </c>
      <c r="BK2" s="14" t="s">
        <v>160</v>
      </c>
      <c r="BL2" s="14" t="s">
        <v>27</v>
      </c>
      <c r="BM2" s="14" t="s">
        <v>28</v>
      </c>
      <c r="BN2" s="14" t="s">
        <v>29</v>
      </c>
      <c r="BO2" s="14"/>
      <c r="BP2" s="14" t="s">
        <v>84</v>
      </c>
      <c r="BQ2" s="14"/>
      <c r="BR2" s="14"/>
      <c r="BS2" s="14" t="s">
        <v>86</v>
      </c>
      <c r="BT2" s="14"/>
      <c r="BV2" t="s">
        <v>61</v>
      </c>
      <c r="BY2" t="s">
        <v>60</v>
      </c>
      <c r="CA2" t="s">
        <v>61</v>
      </c>
      <c r="CD2" t="s">
        <v>60</v>
      </c>
      <c r="CF2" t="s">
        <v>61</v>
      </c>
      <c r="CI2" t="s">
        <v>84</v>
      </c>
      <c r="CK2" t="s">
        <v>86</v>
      </c>
    </row>
    <row r="3" spans="2:77" ht="16.5">
      <c r="B3" t="s">
        <v>114</v>
      </c>
      <c r="D3" t="s">
        <v>115</v>
      </c>
      <c r="G3" t="s">
        <v>114</v>
      </c>
      <c r="I3" t="s">
        <v>115</v>
      </c>
      <c r="L3" t="s">
        <v>114</v>
      </c>
      <c r="N3" t="s">
        <v>115</v>
      </c>
      <c r="Q3" t="s">
        <v>114</v>
      </c>
      <c r="S3" t="s">
        <v>115</v>
      </c>
      <c r="V3" t="s">
        <v>116</v>
      </c>
      <c r="X3" t="s">
        <v>117</v>
      </c>
      <c r="AE3" t="s">
        <v>119</v>
      </c>
      <c r="AH3" t="s">
        <v>79</v>
      </c>
      <c r="AM3" t="s">
        <v>80</v>
      </c>
      <c r="AN3" t="s">
        <v>81</v>
      </c>
      <c r="AP3" t="s">
        <v>82</v>
      </c>
      <c r="AS3" t="s">
        <v>126</v>
      </c>
      <c r="AT3" t="s">
        <v>81</v>
      </c>
      <c r="AV3" t="s">
        <v>82</v>
      </c>
      <c r="BA3" t="s">
        <v>45</v>
      </c>
      <c r="BE3" s="14"/>
      <c r="BP3" s="16" t="s">
        <v>140</v>
      </c>
      <c r="BQ3" s="16"/>
      <c r="BS3" t="s">
        <v>63</v>
      </c>
      <c r="BV3" s="16" t="s">
        <v>125</v>
      </c>
      <c r="BW3" s="16"/>
      <c r="BY3" t="s">
        <v>64</v>
      </c>
    </row>
    <row r="4" spans="2:90" ht="16.5">
      <c r="B4" t="s">
        <v>127</v>
      </c>
      <c r="C4" t="s">
        <v>128</v>
      </c>
      <c r="D4" t="s">
        <v>127</v>
      </c>
      <c r="E4" t="s">
        <v>128</v>
      </c>
      <c r="G4" t="s">
        <v>127</v>
      </c>
      <c r="H4" t="s">
        <v>128</v>
      </c>
      <c r="I4" t="s">
        <v>127</v>
      </c>
      <c r="J4" t="s">
        <v>128</v>
      </c>
      <c r="L4" t="s">
        <v>127</v>
      </c>
      <c r="M4" t="s">
        <v>128</v>
      </c>
      <c r="N4" t="s">
        <v>127</v>
      </c>
      <c r="O4" t="s">
        <v>128</v>
      </c>
      <c r="Q4" t="s">
        <v>127</v>
      </c>
      <c r="R4" t="s">
        <v>128</v>
      </c>
      <c r="S4" t="s">
        <v>127</v>
      </c>
      <c r="T4" t="s">
        <v>128</v>
      </c>
      <c r="V4" t="s">
        <v>129</v>
      </c>
      <c r="X4" t="s">
        <v>127</v>
      </c>
      <c r="Y4" t="s">
        <v>128</v>
      </c>
      <c r="Z4" t="s">
        <v>127</v>
      </c>
      <c r="AA4" t="s">
        <v>128</v>
      </c>
      <c r="AE4" t="s">
        <v>120</v>
      </c>
      <c r="AH4" t="s">
        <v>130</v>
      </c>
      <c r="AJ4" t="s">
        <v>130</v>
      </c>
      <c r="AM4" t="s">
        <v>131</v>
      </c>
      <c r="AN4" s="2" t="s">
        <v>69</v>
      </c>
      <c r="AO4" t="s">
        <v>70</v>
      </c>
      <c r="AP4" s="2" t="s">
        <v>69</v>
      </c>
      <c r="AQ4" t="s">
        <v>70</v>
      </c>
      <c r="AS4" s="2" t="s">
        <v>71</v>
      </c>
      <c r="AT4" s="7" t="s">
        <v>69</v>
      </c>
      <c r="AU4" s="2" t="s">
        <v>70</v>
      </c>
      <c r="AV4" s="7" t="s">
        <v>69</v>
      </c>
      <c r="AW4" s="2" t="s">
        <v>70</v>
      </c>
      <c r="AZ4" t="s">
        <v>46</v>
      </c>
      <c r="BA4" t="s">
        <v>81</v>
      </c>
      <c r="BB4" t="s">
        <v>82</v>
      </c>
      <c r="BC4" t="s">
        <v>81</v>
      </c>
      <c r="BD4" t="s">
        <v>82</v>
      </c>
      <c r="BE4" s="14"/>
      <c r="BF4" t="s">
        <v>31</v>
      </c>
      <c r="BG4" s="14"/>
      <c r="BH4" s="14"/>
      <c r="BI4" s="14"/>
      <c r="BJ4" s="14"/>
      <c r="BK4" s="14"/>
      <c r="BL4" s="14"/>
      <c r="BM4" s="14"/>
      <c r="BN4" s="14"/>
      <c r="BO4" s="14"/>
      <c r="BP4" t="s">
        <v>81</v>
      </c>
      <c r="BQ4" t="s">
        <v>82</v>
      </c>
      <c r="BS4" t="s">
        <v>81</v>
      </c>
      <c r="BT4" t="s">
        <v>82</v>
      </c>
      <c r="BU4" s="14"/>
      <c r="BV4" t="s">
        <v>81</v>
      </c>
      <c r="BW4" t="s">
        <v>82</v>
      </c>
      <c r="BY4" t="s">
        <v>81</v>
      </c>
      <c r="BZ4" t="s">
        <v>82</v>
      </c>
      <c r="CA4" t="s">
        <v>81</v>
      </c>
      <c r="CB4" t="s">
        <v>82</v>
      </c>
      <c r="CD4" t="s">
        <v>81</v>
      </c>
      <c r="CE4" t="s">
        <v>82</v>
      </c>
      <c r="CF4" t="s">
        <v>81</v>
      </c>
      <c r="CG4" t="s">
        <v>82</v>
      </c>
      <c r="CI4" t="s">
        <v>81</v>
      </c>
      <c r="CJ4" t="s">
        <v>82</v>
      </c>
      <c r="CK4" t="s">
        <v>81</v>
      </c>
      <c r="CL4" t="s">
        <v>82</v>
      </c>
    </row>
    <row r="5" spans="2:89" ht="16.5">
      <c r="B5" t="s">
        <v>72</v>
      </c>
      <c r="D5" t="s">
        <v>129</v>
      </c>
      <c r="G5" t="s">
        <v>72</v>
      </c>
      <c r="I5" t="s">
        <v>129</v>
      </c>
      <c r="L5" t="s">
        <v>72</v>
      </c>
      <c r="N5" t="s">
        <v>129</v>
      </c>
      <c r="Q5" t="s">
        <v>72</v>
      </c>
      <c r="S5" t="s">
        <v>129</v>
      </c>
      <c r="AM5" t="s">
        <v>129</v>
      </c>
      <c r="AS5" t="s">
        <v>129</v>
      </c>
      <c r="BA5" t="s">
        <v>49</v>
      </c>
      <c r="BC5" t="s">
        <v>49</v>
      </c>
      <c r="BE5" s="14"/>
      <c r="BF5" s="14" t="s">
        <v>49</v>
      </c>
      <c r="BG5" s="14" t="s">
        <v>49</v>
      </c>
      <c r="BH5" s="14" t="s">
        <v>49</v>
      </c>
      <c r="BI5" s="14" t="s">
        <v>36</v>
      </c>
      <c r="BJ5" s="14" t="s">
        <v>83</v>
      </c>
      <c r="BK5" s="14" t="s">
        <v>36</v>
      </c>
      <c r="BL5" s="14" t="s">
        <v>83</v>
      </c>
      <c r="BM5" s="14" t="s">
        <v>49</v>
      </c>
      <c r="BN5" s="14" t="s">
        <v>49</v>
      </c>
      <c r="BO5" s="14"/>
      <c r="BP5" t="s">
        <v>49</v>
      </c>
      <c r="BS5" t="s">
        <v>49</v>
      </c>
      <c r="BU5" s="14"/>
      <c r="BV5" t="s">
        <v>129</v>
      </c>
      <c r="BY5" t="s">
        <v>129</v>
      </c>
      <c r="CA5" t="s">
        <v>129</v>
      </c>
      <c r="CD5" t="s">
        <v>129</v>
      </c>
      <c r="CF5" t="s">
        <v>129</v>
      </c>
      <c r="CI5" t="s">
        <v>129</v>
      </c>
      <c r="CK5" t="s">
        <v>129</v>
      </c>
    </row>
    <row r="6" spans="2:80" ht="16.5">
      <c r="B6" t="s">
        <v>38</v>
      </c>
      <c r="L6" t="s">
        <v>38</v>
      </c>
      <c r="BA6" t="s">
        <v>39</v>
      </c>
      <c r="BC6" t="s">
        <v>47</v>
      </c>
      <c r="BE6" s="14"/>
      <c r="BF6" s="14"/>
      <c r="BG6" s="14"/>
      <c r="BH6" s="14"/>
      <c r="BI6" s="18" t="s">
        <v>124</v>
      </c>
      <c r="BJ6" s="14"/>
      <c r="BK6" s="14"/>
      <c r="BL6" s="14"/>
      <c r="BM6" s="14"/>
      <c r="BN6" s="14"/>
      <c r="BO6" s="14"/>
      <c r="BP6" t="s">
        <v>39</v>
      </c>
      <c r="BS6" t="s">
        <v>47</v>
      </c>
      <c r="BU6" s="14"/>
      <c r="BV6" t="s">
        <v>40</v>
      </c>
      <c r="BY6" s="7" t="s">
        <v>19</v>
      </c>
      <c r="BZ6" s="7"/>
      <c r="CA6" s="7"/>
      <c r="CB6" s="7"/>
    </row>
    <row r="7" spans="1:74" ht="16.5">
      <c r="A7" s="1">
        <v>39029</v>
      </c>
      <c r="AF7" t="s">
        <v>87</v>
      </c>
      <c r="AH7">
        <v>-23.1</v>
      </c>
      <c r="AJ7">
        <v>-36.6</v>
      </c>
      <c r="BV7" s="16">
        <f>(257.26-256.31)/0.02236</f>
        <v>42.48658318425709</v>
      </c>
    </row>
    <row r="8" spans="1:49" ht="16.5">
      <c r="A8" s="1">
        <v>39127</v>
      </c>
      <c r="B8" s="7">
        <v>118.86352</v>
      </c>
      <c r="C8" s="7">
        <v>119.01662</v>
      </c>
      <c r="D8" s="7">
        <v>79.034217</v>
      </c>
      <c r="E8" s="7">
        <v>79.235496</v>
      </c>
      <c r="F8" s="7"/>
      <c r="G8" s="7">
        <v>1988.2357</v>
      </c>
      <c r="H8" s="7">
        <v>1988.7456</v>
      </c>
      <c r="I8">
        <f>90.476076-11.5</f>
        <v>78.976076</v>
      </c>
      <c r="J8">
        <f>91.029482-11.5</f>
        <v>79.529482</v>
      </c>
      <c r="L8">
        <f aca="true" t="shared" si="0" ref="L8:O14">B8</f>
        <v>118.86352</v>
      </c>
      <c r="M8">
        <f t="shared" si="0"/>
        <v>119.01662</v>
      </c>
      <c r="N8">
        <f t="shared" si="0"/>
        <v>79.034217</v>
      </c>
      <c r="O8">
        <f t="shared" si="0"/>
        <v>79.235496</v>
      </c>
      <c r="Q8">
        <f aca="true" t="shared" si="1" ref="Q8:R14">G8</f>
        <v>1988.2357</v>
      </c>
      <c r="R8">
        <f t="shared" si="1"/>
        <v>1988.7456</v>
      </c>
      <c r="S8">
        <f aca="true" t="shared" si="2" ref="S8:T19">I8</f>
        <v>78.976076</v>
      </c>
      <c r="T8">
        <f t="shared" si="2"/>
        <v>79.529482</v>
      </c>
      <c r="V8" s="3">
        <v>971.844</v>
      </c>
      <c r="X8" s="2">
        <f>N8-V8</f>
        <v>-892.809783</v>
      </c>
      <c r="Y8" s="2">
        <f>O8-V8</f>
        <v>-892.608504</v>
      </c>
      <c r="Z8" s="9">
        <f>S8+V8</f>
        <v>1050.820076</v>
      </c>
      <c r="AA8" s="9">
        <f>T8+V8</f>
        <v>1051.373482</v>
      </c>
      <c r="AC8">
        <f aca="true" t="shared" si="3" ref="AC8:AC14">1.56-((X8+Y8)/2-(-891.276))</f>
        <v>2.9931435000000284</v>
      </c>
      <c r="AD8">
        <f>11.16-((Z8+AA8)/2-1045.761)</f>
        <v>5.824220999999998</v>
      </c>
      <c r="AE8" t="s">
        <v>9</v>
      </c>
      <c r="AH8">
        <f aca="true" t="shared" si="4" ref="AH8:AI11">(X8-1024*0.0545)-(L8-1024+7.5)*1.031</f>
        <v>-23.154572120000125</v>
      </c>
      <c r="AI8">
        <f t="shared" si="4"/>
        <v>-23.11113922000004</v>
      </c>
      <c r="AJ8">
        <f aca="true" t="shared" si="5" ref="AJ8:AK14">(Z8-2048*0.0545)-(Q8-1024-15.56)*1.031+2.5</f>
        <v>-36.38057069999991</v>
      </c>
      <c r="AK8">
        <f t="shared" si="5"/>
        <v>-36.35287159999996</v>
      </c>
      <c r="AM8">
        <v>945</v>
      </c>
      <c r="AN8">
        <v>-1029.6</v>
      </c>
      <c r="AO8">
        <v>81.7</v>
      </c>
      <c r="AP8">
        <v>-864.7</v>
      </c>
      <c r="AQ8">
        <v>-11.9</v>
      </c>
      <c r="AS8">
        <v>-945</v>
      </c>
      <c r="AT8">
        <v>-71.2</v>
      </c>
      <c r="AU8">
        <v>1014.3</v>
      </c>
      <c r="AV8">
        <v>90.5</v>
      </c>
      <c r="AW8">
        <v>922.3</v>
      </c>
    </row>
    <row r="9" spans="1:49" ht="16.5">
      <c r="A9" s="1">
        <v>39141</v>
      </c>
      <c r="B9" s="7">
        <v>118.07048</v>
      </c>
      <c r="C9" s="7">
        <v>118.50501</v>
      </c>
      <c r="D9" s="7">
        <v>75.338492</v>
      </c>
      <c r="E9" s="7">
        <v>75.777314</v>
      </c>
      <c r="F9" s="7"/>
      <c r="G9" s="7">
        <v>1988.4481</v>
      </c>
      <c r="H9" s="7">
        <v>1988.4168</v>
      </c>
      <c r="I9">
        <v>82.794258</v>
      </c>
      <c r="J9">
        <v>82.781949</v>
      </c>
      <c r="L9">
        <f t="shared" si="0"/>
        <v>118.07048</v>
      </c>
      <c r="M9">
        <f t="shared" si="0"/>
        <v>118.50501</v>
      </c>
      <c r="N9">
        <f t="shared" si="0"/>
        <v>75.338492</v>
      </c>
      <c r="O9">
        <f t="shared" si="0"/>
        <v>75.777314</v>
      </c>
      <c r="Q9">
        <f t="shared" si="1"/>
        <v>1988.4481</v>
      </c>
      <c r="R9">
        <f t="shared" si="1"/>
        <v>1988.4168</v>
      </c>
      <c r="S9">
        <f t="shared" si="2"/>
        <v>82.794258</v>
      </c>
      <c r="T9">
        <f t="shared" si="2"/>
        <v>82.781949</v>
      </c>
      <c r="V9">
        <v>968.88</v>
      </c>
      <c r="X9" s="2">
        <f aca="true" t="shared" si="6" ref="X9:X14">N9-V9</f>
        <v>-893.541508</v>
      </c>
      <c r="Y9" s="2">
        <f aca="true" t="shared" si="7" ref="Y9:Y14">O9-V9</f>
        <v>-893.102686</v>
      </c>
      <c r="Z9" s="9">
        <f aca="true" t="shared" si="8" ref="Z9:Z14">S9+V9</f>
        <v>1051.674258</v>
      </c>
      <c r="AA9" s="9">
        <f aca="true" t="shared" si="9" ref="AA9:AA14">T9+V9</f>
        <v>1051.661949</v>
      </c>
      <c r="AC9">
        <f t="shared" si="3"/>
        <v>3.6060970000000316</v>
      </c>
      <c r="AD9">
        <f aca="true" t="shared" si="10" ref="AD9:AD14">11.16-((Z9+AA9)/2-1045.761)</f>
        <v>5.252896499999824</v>
      </c>
      <c r="AH9">
        <f t="shared" si="4"/>
        <v>-23.06867288000001</v>
      </c>
      <c r="AI9">
        <f t="shared" si="4"/>
        <v>-23.077851310000028</v>
      </c>
      <c r="AJ9">
        <f t="shared" si="5"/>
        <v>-35.74537310000005</v>
      </c>
      <c r="AK9">
        <f t="shared" si="5"/>
        <v>-35.72541179999985</v>
      </c>
      <c r="AM9">
        <v>945</v>
      </c>
      <c r="AN9">
        <v>-1029.2</v>
      </c>
      <c r="AO9">
        <v>81.7</v>
      </c>
      <c r="AP9">
        <v>-864.7</v>
      </c>
      <c r="AQ9">
        <v>-11.6</v>
      </c>
      <c r="AS9">
        <v>-945</v>
      </c>
      <c r="AT9">
        <v>-71</v>
      </c>
      <c r="AU9">
        <v>1014.1</v>
      </c>
      <c r="AV9">
        <v>90.3</v>
      </c>
      <c r="AW9">
        <v>922.7</v>
      </c>
    </row>
    <row r="10" spans="1:49" ht="16.5">
      <c r="A10" s="1">
        <v>39150</v>
      </c>
      <c r="B10" s="7">
        <v>118.33972</v>
      </c>
      <c r="C10" s="7">
        <v>118.33972</v>
      </c>
      <c r="D10" s="7">
        <v>72.703602</v>
      </c>
      <c r="E10" s="7">
        <v>72.960667</v>
      </c>
      <c r="F10" s="7"/>
      <c r="G10" s="7">
        <v>1988.4665</v>
      </c>
      <c r="H10" s="7">
        <v>1988.3411</v>
      </c>
      <c r="I10">
        <v>84.787819</v>
      </c>
      <c r="J10">
        <v>84.878165</v>
      </c>
      <c r="L10">
        <f t="shared" si="0"/>
        <v>118.33972</v>
      </c>
      <c r="M10">
        <f t="shared" si="0"/>
        <v>118.33972</v>
      </c>
      <c r="N10">
        <f t="shared" si="0"/>
        <v>72.703602</v>
      </c>
      <c r="O10">
        <f t="shared" si="0"/>
        <v>72.960667</v>
      </c>
      <c r="Q10">
        <f t="shared" si="1"/>
        <v>1988.4665</v>
      </c>
      <c r="R10">
        <f t="shared" si="1"/>
        <v>1988.3411</v>
      </c>
      <c r="S10">
        <f t="shared" si="2"/>
        <v>84.787819</v>
      </c>
      <c r="T10">
        <f t="shared" si="2"/>
        <v>84.878165</v>
      </c>
      <c r="V10">
        <v>966.68</v>
      </c>
      <c r="X10" s="2">
        <f t="shared" si="6"/>
        <v>-893.9763979999999</v>
      </c>
      <c r="Y10" s="2">
        <f t="shared" si="7"/>
        <v>-893.719333</v>
      </c>
      <c r="Z10" s="9">
        <f t="shared" si="8"/>
        <v>1051.467819</v>
      </c>
      <c r="AA10" s="9">
        <f t="shared" si="9"/>
        <v>1051.558165</v>
      </c>
      <c r="AC10">
        <f t="shared" si="3"/>
        <v>4.131865499999945</v>
      </c>
      <c r="AD10">
        <f t="shared" si="10"/>
        <v>5.408008000000027</v>
      </c>
      <c r="AH10">
        <f t="shared" si="4"/>
        <v>-23.78114931999994</v>
      </c>
      <c r="AI10">
        <f t="shared" si="4"/>
        <v>-23.524084320000043</v>
      </c>
      <c r="AJ10">
        <f t="shared" si="5"/>
        <v>-35.97078250000004</v>
      </c>
      <c r="AK10">
        <f t="shared" si="5"/>
        <v>-35.751149100000134</v>
      </c>
      <c r="AM10">
        <v>945</v>
      </c>
      <c r="AN10">
        <v>-1029.3</v>
      </c>
      <c r="AO10">
        <v>81.7</v>
      </c>
      <c r="AP10">
        <v>-864.4</v>
      </c>
      <c r="AQ10">
        <v>-12</v>
      </c>
      <c r="AS10">
        <v>-945</v>
      </c>
      <c r="AT10">
        <v>-71</v>
      </c>
      <c r="AU10">
        <v>1014.1</v>
      </c>
      <c r="AV10">
        <v>90.7</v>
      </c>
      <c r="AW10">
        <v>922.7</v>
      </c>
    </row>
    <row r="11" spans="1:49" ht="16.5">
      <c r="A11" s="1">
        <v>39166</v>
      </c>
      <c r="B11" s="7">
        <v>116.83439</v>
      </c>
      <c r="C11" s="7">
        <v>117.2175</v>
      </c>
      <c r="D11" s="7">
        <v>66.70565</v>
      </c>
      <c r="E11" s="7">
        <v>67.058996</v>
      </c>
      <c r="F11" s="7"/>
      <c r="G11" s="7">
        <v>1988.5533</v>
      </c>
      <c r="H11" s="7">
        <v>1987.886</v>
      </c>
      <c r="I11">
        <v>89.308761</v>
      </c>
      <c r="J11">
        <v>88.531649</v>
      </c>
      <c r="L11">
        <f t="shared" si="0"/>
        <v>116.83439</v>
      </c>
      <c r="M11">
        <f t="shared" si="0"/>
        <v>117.2175</v>
      </c>
      <c r="N11">
        <f t="shared" si="0"/>
        <v>66.70565</v>
      </c>
      <c r="O11">
        <f t="shared" si="0"/>
        <v>67.058996</v>
      </c>
      <c r="Q11">
        <f t="shared" si="1"/>
        <v>1988.5533</v>
      </c>
      <c r="R11">
        <f t="shared" si="1"/>
        <v>1987.886</v>
      </c>
      <c r="S11">
        <f t="shared" si="2"/>
        <v>89.308761</v>
      </c>
      <c r="T11">
        <f t="shared" si="2"/>
        <v>88.531649</v>
      </c>
      <c r="V11" s="7">
        <v>962.43</v>
      </c>
      <c r="X11" s="2">
        <f t="shared" si="6"/>
        <v>-895.72435</v>
      </c>
      <c r="Y11" s="2">
        <f t="shared" si="7"/>
        <v>-895.371004</v>
      </c>
      <c r="Z11" s="9">
        <f t="shared" si="8"/>
        <v>1051.738761</v>
      </c>
      <c r="AA11" s="9">
        <f t="shared" si="9"/>
        <v>1050.9616489999999</v>
      </c>
      <c r="AC11">
        <f t="shared" si="3"/>
        <v>5.831677000000068</v>
      </c>
      <c r="AD11">
        <f t="shared" si="10"/>
        <v>5.5707950000000075</v>
      </c>
      <c r="AH11">
        <f t="shared" si="4"/>
        <v>-23.977106090000007</v>
      </c>
      <c r="AI11">
        <f t="shared" si="4"/>
        <v>-24.01874650000002</v>
      </c>
      <c r="AJ11">
        <f t="shared" si="5"/>
        <v>-35.78933129999996</v>
      </c>
      <c r="AK11">
        <f t="shared" si="5"/>
        <v>-35.878457000000026</v>
      </c>
      <c r="AM11">
        <v>945</v>
      </c>
      <c r="AN11">
        <v>-1029.2</v>
      </c>
      <c r="AO11">
        <v>81.3</v>
      </c>
      <c r="AP11">
        <v>-864.5</v>
      </c>
      <c r="AQ11">
        <v>-11.4</v>
      </c>
      <c r="AS11">
        <v>-945</v>
      </c>
      <c r="AT11">
        <v>-71</v>
      </c>
      <c r="AU11">
        <v>1013.8</v>
      </c>
      <c r="AV11">
        <v>90.3</v>
      </c>
      <c r="AW11">
        <v>923.2</v>
      </c>
    </row>
    <row r="12" spans="1:90" ht="16.5">
      <c r="A12" s="1">
        <v>39181</v>
      </c>
      <c r="B12" s="7">
        <v>115.94704</v>
      </c>
      <c r="C12" s="7">
        <v>116.72044</v>
      </c>
      <c r="D12" s="7">
        <v>61.53739</v>
      </c>
      <c r="E12" s="7">
        <v>62.294791</v>
      </c>
      <c r="F12" s="7"/>
      <c r="G12" s="7">
        <v>1988.5318</v>
      </c>
      <c r="H12" s="7">
        <v>1987.6801</v>
      </c>
      <c r="I12">
        <v>93.572081</v>
      </c>
      <c r="J12">
        <v>92.677755</v>
      </c>
      <c r="L12">
        <f t="shared" si="0"/>
        <v>115.94704</v>
      </c>
      <c r="M12">
        <f t="shared" si="0"/>
        <v>116.72044</v>
      </c>
      <c r="N12">
        <f t="shared" si="0"/>
        <v>61.53739</v>
      </c>
      <c r="O12">
        <f t="shared" si="0"/>
        <v>62.294791</v>
      </c>
      <c r="Q12">
        <f t="shared" si="1"/>
        <v>1988.5318</v>
      </c>
      <c r="R12">
        <f t="shared" si="1"/>
        <v>1987.6801</v>
      </c>
      <c r="S12">
        <f t="shared" si="2"/>
        <v>93.572081</v>
      </c>
      <c r="T12">
        <f t="shared" si="2"/>
        <v>92.677755</v>
      </c>
      <c r="V12" s="7">
        <v>958.30265</v>
      </c>
      <c r="X12" s="2">
        <f t="shared" si="6"/>
        <v>-896.76526</v>
      </c>
      <c r="Y12" s="2">
        <f t="shared" si="7"/>
        <v>-896.0078589999999</v>
      </c>
      <c r="Z12" s="9">
        <f t="shared" si="8"/>
        <v>1051.8747309999999</v>
      </c>
      <c r="AA12" s="9">
        <f t="shared" si="9"/>
        <v>1050.980405</v>
      </c>
      <c r="AC12">
        <f t="shared" si="3"/>
        <v>6.670559500000023</v>
      </c>
      <c r="AD12">
        <f t="shared" si="10"/>
        <v>5.493431999999903</v>
      </c>
      <c r="AH12">
        <f aca="true" t="shared" si="11" ref="AH12:AI14">(X12-1024*0.0545)-(L12-1024+7.5)*1.031</f>
        <v>-24.103158240000084</v>
      </c>
      <c r="AI12">
        <f t="shared" si="11"/>
        <v>-24.14313264000009</v>
      </c>
      <c r="AJ12">
        <f t="shared" si="5"/>
        <v>-35.6311948</v>
      </c>
      <c r="AK12">
        <f t="shared" si="5"/>
        <v>-35.64741809999998</v>
      </c>
      <c r="AM12">
        <v>945</v>
      </c>
      <c r="AN12">
        <v>-1028.9</v>
      </c>
      <c r="AO12">
        <v>81.2</v>
      </c>
      <c r="AP12">
        <v>-864.8</v>
      </c>
      <c r="AQ12">
        <v>-11.2</v>
      </c>
      <c r="AS12">
        <v>-945</v>
      </c>
      <c r="AT12">
        <v>-70.8</v>
      </c>
      <c r="AU12">
        <v>1013.8</v>
      </c>
      <c r="AV12">
        <v>90.3</v>
      </c>
      <c r="AW12">
        <v>923.2</v>
      </c>
      <c r="BA12" s="17">
        <v>-638.61</v>
      </c>
      <c r="BB12" s="17">
        <v>-637.651</v>
      </c>
      <c r="BC12" s="17">
        <v>975.118</v>
      </c>
      <c r="BD12" s="17">
        <v>974.129</v>
      </c>
      <c r="BF12">
        <v>320</v>
      </c>
      <c r="BG12" t="s">
        <v>53</v>
      </c>
      <c r="BH12" t="s">
        <v>54</v>
      </c>
      <c r="BI12">
        <v>1800</v>
      </c>
      <c r="BJ12" s="7">
        <f>(1800-BI12)*0.25</f>
        <v>0</v>
      </c>
      <c r="BK12">
        <v>1511</v>
      </c>
      <c r="BL12" s="7">
        <f>(1800-BK12)*0.24</f>
        <v>69.36</v>
      </c>
      <c r="BM12">
        <v>256</v>
      </c>
      <c r="BN12">
        <v>256</v>
      </c>
      <c r="BP12">
        <f aca="true" t="shared" si="12" ref="BP12:BQ14">BA12+(BM12-256)-256</f>
        <v>-894.61</v>
      </c>
      <c r="BQ12">
        <f t="shared" si="12"/>
        <v>-893.651</v>
      </c>
      <c r="BS12">
        <f>BC12+BL12</f>
        <v>1044.478</v>
      </c>
      <c r="BT12">
        <f>BD12+BL12</f>
        <v>1043.489</v>
      </c>
      <c r="BV12" s="7">
        <f aca="true" t="shared" si="13" ref="BV12:BW14">(BS12+$BV$7-146)*0.996</f>
        <v>937.2007248515201</v>
      </c>
      <c r="BW12" s="7">
        <f t="shared" si="13"/>
        <v>936.2156808515201</v>
      </c>
      <c r="BY12">
        <f>BP12-(945-AM12)</f>
        <v>-894.61</v>
      </c>
      <c r="BZ12">
        <f>BQ12-(945-AM12)</f>
        <v>-893.651</v>
      </c>
      <c r="CA12">
        <f>BV12-(945+AS12)</f>
        <v>937.2007248515201</v>
      </c>
      <c r="CB12">
        <f>BW12-(945+AS12)</f>
        <v>936.2156808515201</v>
      </c>
      <c r="CD12" s="7">
        <f aca="true" t="shared" si="14" ref="CD12:CE14">BY12*(-1)-(L12-1024+7.51)*1.031*(-1)</f>
        <v>-33.8497917599999</v>
      </c>
      <c r="CE12" s="7">
        <f t="shared" si="14"/>
        <v>-34.011416359999885</v>
      </c>
      <c r="CF12" s="7">
        <f aca="true" t="shared" si="15" ref="CF12:CG14">CA12*(-1)-(Q12-1024-15.56)*1.031*(-1)</f>
        <v>41.189200948479765</v>
      </c>
      <c r="CG12" s="7">
        <f t="shared" si="15"/>
        <v>41.296142248479896</v>
      </c>
      <c r="CI12" s="7">
        <f aca="true" t="shared" si="16" ref="CI12:CJ14">BY12*(-1)-(X12-1024*0.0545)*(-1)</f>
        <v>-57.96325999999999</v>
      </c>
      <c r="CJ12" s="7">
        <f t="shared" si="16"/>
        <v>-58.16485899999998</v>
      </c>
      <c r="CK12" s="7">
        <f aca="true" t="shared" si="17" ref="CK12:CL14">CF12*(-1)-(Z12-1024-15.56)*1.031*(-1)</f>
        <v>-28.492713287479887</v>
      </c>
      <c r="CL12" s="7">
        <f t="shared" si="17"/>
        <v>-29.521704693479876</v>
      </c>
    </row>
    <row r="13" spans="1:90" ht="16.5">
      <c r="A13" s="1">
        <v>39188</v>
      </c>
      <c r="B13" s="7">
        <v>116.25567</v>
      </c>
      <c r="C13" s="7">
        <v>116.66994</v>
      </c>
      <c r="D13" s="7">
        <v>60.245654</v>
      </c>
      <c r="E13" s="7">
        <v>60.658368</v>
      </c>
      <c r="F13" s="7"/>
      <c r="G13" s="7">
        <v>1988.7348</v>
      </c>
      <c r="H13" s="7">
        <v>1987.5988</v>
      </c>
      <c r="I13">
        <v>95.661883</v>
      </c>
      <c r="J13">
        <v>94.639833</v>
      </c>
      <c r="L13">
        <f t="shared" si="0"/>
        <v>116.25567</v>
      </c>
      <c r="M13">
        <f t="shared" si="0"/>
        <v>116.66994</v>
      </c>
      <c r="N13">
        <f t="shared" si="0"/>
        <v>60.245654</v>
      </c>
      <c r="O13">
        <f t="shared" si="0"/>
        <v>60.658368</v>
      </c>
      <c r="Q13">
        <f t="shared" si="1"/>
        <v>1988.7348</v>
      </c>
      <c r="R13">
        <f t="shared" si="1"/>
        <v>1987.5988</v>
      </c>
      <c r="S13">
        <f t="shared" si="2"/>
        <v>95.661883</v>
      </c>
      <c r="T13">
        <f t="shared" si="2"/>
        <v>94.639833</v>
      </c>
      <c r="V13" s="7">
        <v>956.40665</v>
      </c>
      <c r="X13" s="2">
        <f t="shared" si="6"/>
        <v>-896.1609960000001</v>
      </c>
      <c r="Y13" s="2">
        <f t="shared" si="7"/>
        <v>-895.748282</v>
      </c>
      <c r="Z13" s="9">
        <f t="shared" si="8"/>
        <v>1052.0685330000001</v>
      </c>
      <c r="AA13" s="9">
        <f t="shared" si="9"/>
        <v>1051.046483</v>
      </c>
      <c r="AC13">
        <f t="shared" si="3"/>
        <v>6.23863900000009</v>
      </c>
      <c r="AD13">
        <f t="shared" si="10"/>
        <v>5.363491999999869</v>
      </c>
      <c r="AH13">
        <f t="shared" si="11"/>
        <v>-23.81709177000016</v>
      </c>
      <c r="AI13">
        <f t="shared" si="11"/>
        <v>-23.831490140000028</v>
      </c>
      <c r="AJ13">
        <f t="shared" si="5"/>
        <v>-35.64668579999977</v>
      </c>
      <c r="AK13">
        <f t="shared" si="5"/>
        <v>-35.49751979999985</v>
      </c>
      <c r="AM13">
        <v>945</v>
      </c>
      <c r="AN13">
        <v>-1029.3</v>
      </c>
      <c r="AO13">
        <v>81.2</v>
      </c>
      <c r="AP13">
        <v>-864.7</v>
      </c>
      <c r="AQ13">
        <v>-11.3</v>
      </c>
      <c r="AS13">
        <v>-945</v>
      </c>
      <c r="AT13">
        <v>-70.8</v>
      </c>
      <c r="AU13">
        <v>1013.7</v>
      </c>
      <c r="AV13">
        <v>90.1</v>
      </c>
      <c r="AW13">
        <v>923.2</v>
      </c>
      <c r="BA13" s="17">
        <v>-639.897</v>
      </c>
      <c r="BB13" s="17">
        <v>-639.363</v>
      </c>
      <c r="BC13" s="17">
        <v>976.395</v>
      </c>
      <c r="BD13" s="17">
        <v>975.476</v>
      </c>
      <c r="BF13">
        <v>315</v>
      </c>
      <c r="BG13" t="s">
        <v>55</v>
      </c>
      <c r="BH13" t="s">
        <v>54</v>
      </c>
      <c r="BI13">
        <v>1800</v>
      </c>
      <c r="BJ13" s="7">
        <f>(1800-BI13)*0.25</f>
        <v>0</v>
      </c>
      <c r="BK13">
        <v>1511</v>
      </c>
      <c r="BL13" s="7">
        <f>(1800-BK13)*0.24</f>
        <v>69.36</v>
      </c>
      <c r="BM13">
        <v>256</v>
      </c>
      <c r="BN13">
        <v>256</v>
      </c>
      <c r="BP13">
        <f t="shared" si="12"/>
        <v>-895.897</v>
      </c>
      <c r="BQ13">
        <f t="shared" si="12"/>
        <v>-895.363</v>
      </c>
      <c r="BS13">
        <f>BC13+BL13</f>
        <v>1045.7549999999999</v>
      </c>
      <c r="BT13">
        <f>BD13+BL13</f>
        <v>1044.836</v>
      </c>
      <c r="BV13" s="7">
        <f t="shared" si="13"/>
        <v>938.47261685152</v>
      </c>
      <c r="BW13" s="7">
        <f t="shared" si="13"/>
        <v>937.5572928515202</v>
      </c>
      <c r="BY13">
        <f>BP13-(945-AM13)</f>
        <v>-895.897</v>
      </c>
      <c r="BZ13">
        <f>BQ13-(945-AM13)</f>
        <v>-895.363</v>
      </c>
      <c r="CA13">
        <f>BV13-(945+AS13)</f>
        <v>938.47261685152</v>
      </c>
      <c r="CB13">
        <f>BW13-(945+AS13)</f>
        <v>937.5572928515202</v>
      </c>
      <c r="CD13" s="7">
        <f t="shared" si="14"/>
        <v>-32.24459422999985</v>
      </c>
      <c r="CE13" s="7">
        <f t="shared" si="14"/>
        <v>-32.35148185999992</v>
      </c>
      <c r="CF13" s="7">
        <f t="shared" si="15"/>
        <v>40.1266019484799</v>
      </c>
      <c r="CG13" s="7">
        <f t="shared" si="15"/>
        <v>39.87070994847977</v>
      </c>
      <c r="CI13" s="7">
        <f t="shared" si="16"/>
        <v>-56.07199600000001</v>
      </c>
      <c r="CJ13" s="7">
        <f t="shared" si="16"/>
        <v>-56.193281999999954</v>
      </c>
      <c r="CK13" s="7">
        <f t="shared" si="17"/>
        <v>-27.230304425479783</v>
      </c>
      <c r="CL13" s="7">
        <f t="shared" si="17"/>
        <v>-28.02814597547969</v>
      </c>
    </row>
    <row r="14" spans="1:90" ht="16.5">
      <c r="A14" s="10">
        <v>39195</v>
      </c>
      <c r="B14" s="7">
        <v>116.11396</v>
      </c>
      <c r="C14" s="7">
        <v>116.85125</v>
      </c>
      <c r="D14" s="7">
        <v>57.08488</v>
      </c>
      <c r="E14" s="7">
        <v>57.870097</v>
      </c>
      <c r="F14" s="7"/>
      <c r="G14" s="7">
        <v>1988.5853</v>
      </c>
      <c r="H14" s="7">
        <v>1987.5745</v>
      </c>
      <c r="I14">
        <v>97.593164</v>
      </c>
      <c r="J14">
        <v>96.525131</v>
      </c>
      <c r="L14">
        <f t="shared" si="0"/>
        <v>116.11396</v>
      </c>
      <c r="M14">
        <f t="shared" si="0"/>
        <v>116.85125</v>
      </c>
      <c r="N14">
        <f t="shared" si="0"/>
        <v>57.08488</v>
      </c>
      <c r="O14">
        <f t="shared" si="0"/>
        <v>57.870097</v>
      </c>
      <c r="Q14">
        <f t="shared" si="1"/>
        <v>1988.5853</v>
      </c>
      <c r="R14">
        <f t="shared" si="1"/>
        <v>1987.5745</v>
      </c>
      <c r="S14">
        <f t="shared" si="2"/>
        <v>97.593164</v>
      </c>
      <c r="T14">
        <f t="shared" si="2"/>
        <v>96.525131</v>
      </c>
      <c r="V14" s="7">
        <v>954.56779</v>
      </c>
      <c r="X14" s="2">
        <f t="shared" si="6"/>
        <v>-897.48291</v>
      </c>
      <c r="Y14" s="2">
        <f t="shared" si="7"/>
        <v>-896.697693</v>
      </c>
      <c r="Z14" s="9">
        <f t="shared" si="8"/>
        <v>1052.160954</v>
      </c>
      <c r="AA14" s="9">
        <f t="shared" si="9"/>
        <v>1051.092921</v>
      </c>
      <c r="AC14">
        <f t="shared" si="3"/>
        <v>7.374301499999943</v>
      </c>
      <c r="AD14">
        <f t="shared" si="10"/>
        <v>5.294062500000027</v>
      </c>
      <c r="AH14">
        <f t="shared" si="11"/>
        <v>-24.992902759999993</v>
      </c>
      <c r="AI14">
        <f t="shared" si="11"/>
        <v>-24.96783174999996</v>
      </c>
      <c r="AJ14">
        <f t="shared" si="5"/>
        <v>-35.4001303</v>
      </c>
      <c r="AK14">
        <f t="shared" si="5"/>
        <v>-35.426028499999916</v>
      </c>
      <c r="AM14">
        <v>945</v>
      </c>
      <c r="AN14">
        <v>-1029.2</v>
      </c>
      <c r="AO14">
        <v>81</v>
      </c>
      <c r="AP14">
        <v>-864.8</v>
      </c>
      <c r="AQ14">
        <v>-11.2</v>
      </c>
      <c r="AS14">
        <v>-945</v>
      </c>
      <c r="AT14">
        <v>-70.9</v>
      </c>
      <c r="AU14">
        <v>1013.8</v>
      </c>
      <c r="AV14">
        <v>90.3</v>
      </c>
      <c r="AW14">
        <v>923.1</v>
      </c>
      <c r="AY14" t="s">
        <v>95</v>
      </c>
      <c r="BA14" s="17">
        <v>-640.696</v>
      </c>
      <c r="BB14" s="17">
        <v>-639.911</v>
      </c>
      <c r="BC14" s="17">
        <v>975.352</v>
      </c>
      <c r="BD14" s="17">
        <v>974.89</v>
      </c>
      <c r="BF14">
        <v>303</v>
      </c>
      <c r="BG14" t="s">
        <v>55</v>
      </c>
      <c r="BH14" t="s">
        <v>54</v>
      </c>
      <c r="BI14">
        <v>1800</v>
      </c>
      <c r="BJ14" s="7">
        <f>(1800-BI14)*0.25</f>
        <v>0</v>
      </c>
      <c r="BK14">
        <v>1515</v>
      </c>
      <c r="BL14" s="7">
        <f>(1800-BK14)*0.24</f>
        <v>68.39999999999999</v>
      </c>
      <c r="BM14">
        <v>256</v>
      </c>
      <c r="BN14">
        <v>256</v>
      </c>
      <c r="BP14">
        <f t="shared" si="12"/>
        <v>-896.696</v>
      </c>
      <c r="BQ14">
        <f t="shared" si="12"/>
        <v>-895.911</v>
      </c>
      <c r="BS14">
        <f>BC14+BL14</f>
        <v>1043.752</v>
      </c>
      <c r="BT14">
        <f>BD14+BL14</f>
        <v>1043.29</v>
      </c>
      <c r="BV14" s="7">
        <f t="shared" si="13"/>
        <v>936.4776288515201</v>
      </c>
      <c r="BW14" s="7">
        <f t="shared" si="13"/>
        <v>936.0174768515201</v>
      </c>
      <c r="BY14">
        <f>BP14-(945-AM14)</f>
        <v>-896.696</v>
      </c>
      <c r="BZ14">
        <f>BQ14-(945-AM14)</f>
        <v>-895.911</v>
      </c>
      <c r="CA14">
        <f>BV14-(945+AS14)</f>
        <v>936.4776288515201</v>
      </c>
      <c r="CB14">
        <f>BW14-(945+AS14)</f>
        <v>936.0174768515201</v>
      </c>
      <c r="CD14" s="7">
        <f t="shared" si="14"/>
        <v>-31.591697239999917</v>
      </c>
      <c r="CE14" s="7">
        <f t="shared" si="14"/>
        <v>-31.616551250000043</v>
      </c>
      <c r="CF14" s="7">
        <f t="shared" si="15"/>
        <v>41.96745544847988</v>
      </c>
      <c r="CG14" s="7">
        <f t="shared" si="15"/>
        <v>41.38547264847978</v>
      </c>
      <c r="CI14" s="7">
        <f t="shared" si="16"/>
        <v>-56.59490999999991</v>
      </c>
      <c r="CJ14" s="7">
        <f t="shared" si="16"/>
        <v>-56.59469300000001</v>
      </c>
      <c r="CK14" s="7">
        <f t="shared" si="17"/>
        <v>-28.97587187447994</v>
      </c>
      <c r="CL14" s="7">
        <f t="shared" si="17"/>
        <v>-29.495031097479846</v>
      </c>
    </row>
    <row r="15" spans="1:90" ht="16.5">
      <c r="A15" s="10"/>
      <c r="B15" s="7"/>
      <c r="C15" s="7"/>
      <c r="D15" s="7"/>
      <c r="E15" s="7"/>
      <c r="F15" s="7"/>
      <c r="G15" s="7"/>
      <c r="H15" s="7"/>
      <c r="V15" s="7"/>
      <c r="X15" s="2"/>
      <c r="Y15" s="2"/>
      <c r="Z15" s="9"/>
      <c r="AA15" s="9"/>
      <c r="BA15" s="17"/>
      <c r="BB15" s="17"/>
      <c r="BC15" s="17"/>
      <c r="BD15" s="17"/>
      <c r="BJ15" s="7"/>
      <c r="BL15" s="7"/>
      <c r="BV15" s="7"/>
      <c r="BW15" s="7"/>
      <c r="CD15" s="7"/>
      <c r="CE15" s="7"/>
      <c r="CF15" s="7"/>
      <c r="CG15" s="7"/>
      <c r="CI15" s="7"/>
      <c r="CJ15" s="7"/>
      <c r="CK15" s="7"/>
      <c r="CL15" s="7"/>
    </row>
    <row r="16" spans="1:90" ht="16.5">
      <c r="A16" s="1">
        <v>39334</v>
      </c>
      <c r="B16">
        <v>120.18969</v>
      </c>
      <c r="C16">
        <v>117.86324</v>
      </c>
      <c r="D16">
        <v>59.193759</v>
      </c>
      <c r="E16">
        <v>56.84318</v>
      </c>
      <c r="G16">
        <v>1985.9665</v>
      </c>
      <c r="H16">
        <v>1987.0599</v>
      </c>
      <c r="I16">
        <v>96.197791</v>
      </c>
      <c r="J16">
        <v>97.107978</v>
      </c>
      <c r="L16">
        <f aca="true" t="shared" si="18" ref="L16:M31">B16</f>
        <v>120.18969</v>
      </c>
      <c r="M16">
        <f t="shared" si="18"/>
        <v>117.86324</v>
      </c>
      <c r="N16">
        <f aca="true" t="shared" si="19" ref="N16:N29">D16+(AM16-945)</f>
        <v>59.193759</v>
      </c>
      <c r="O16">
        <f aca="true" t="shared" si="20" ref="O16:O37">E16+(AM16-945)</f>
        <v>56.84318</v>
      </c>
      <c r="Q16">
        <f aca="true" t="shared" si="21" ref="Q16:R31">G16</f>
        <v>1985.9665</v>
      </c>
      <c r="R16">
        <f t="shared" si="21"/>
        <v>1987.0599</v>
      </c>
      <c r="S16">
        <f t="shared" si="2"/>
        <v>96.197791</v>
      </c>
      <c r="T16">
        <f aca="true" t="shared" si="22" ref="T16:T37">J16+(AS16+945)</f>
        <v>97.107978</v>
      </c>
      <c r="V16" s="7">
        <v>952.58876</v>
      </c>
      <c r="X16" s="2">
        <f aca="true" t="shared" si="23" ref="X16:X29">N16-V16</f>
        <v>-893.395001</v>
      </c>
      <c r="Y16" s="2">
        <f aca="true" t="shared" si="24" ref="Y16:Y29">O16-V16</f>
        <v>-895.74558</v>
      </c>
      <c r="Z16" s="9">
        <f aca="true" t="shared" si="25" ref="Z16:Z43">S16+V16</f>
        <v>1048.786551</v>
      </c>
      <c r="AA16" s="9">
        <f aca="true" t="shared" si="26" ref="AA16:AA43">T16+V16</f>
        <v>1049.696738</v>
      </c>
      <c r="AC16">
        <f>1.56-((X16+Y16)/2-(-891.276))</f>
        <v>4.854290500000102</v>
      </c>
      <c r="AD16">
        <f>11.16-((Z16+AA16)/2-1045.761)</f>
        <v>7.679355500000074</v>
      </c>
      <c r="AH16">
        <f aca="true" t="shared" si="27" ref="AH16:AI20">(X16-1024*0.0545)-(L16-1024+7.5)*1.031</f>
        <v>-25.1070713900001</v>
      </c>
      <c r="AI16">
        <f t="shared" si="27"/>
        <v>-25.059080440000116</v>
      </c>
      <c r="AJ16">
        <f aca="true" t="shared" si="28" ref="AJ16:AK23">(Z16-2048*0.0545)-(Q16-1024-15.56)*1.031+2.5</f>
        <v>-36.07455049999999</v>
      </c>
      <c r="AK16">
        <f t="shared" si="28"/>
        <v>-36.29165889999979</v>
      </c>
      <c r="AM16">
        <v>945</v>
      </c>
      <c r="AN16">
        <v>-1030</v>
      </c>
      <c r="AO16">
        <v>82.2</v>
      </c>
      <c r="AP16">
        <v>-862.8</v>
      </c>
      <c r="AQ16">
        <v>-12</v>
      </c>
      <c r="AS16">
        <v>-945</v>
      </c>
      <c r="AT16">
        <v>-71.3</v>
      </c>
      <c r="AU16">
        <v>1014.7</v>
      </c>
      <c r="AV16">
        <v>92.2</v>
      </c>
      <c r="AW16">
        <v>922.3</v>
      </c>
      <c r="BA16" s="17">
        <v>-630.278</v>
      </c>
      <c r="BB16" s="17">
        <v>-632.494</v>
      </c>
      <c r="BC16" s="17">
        <v>1028.95</v>
      </c>
      <c r="BD16" s="17">
        <v>1029.79</v>
      </c>
      <c r="BF16">
        <v>321</v>
      </c>
      <c r="BG16" t="s">
        <v>151</v>
      </c>
      <c r="BH16" t="s">
        <v>153</v>
      </c>
      <c r="BI16">
        <v>1800</v>
      </c>
      <c r="BJ16" s="7">
        <f aca="true" t="shared" si="29" ref="BJ16:BJ22">(1800-BI16)*0.25</f>
        <v>0</v>
      </c>
      <c r="BK16">
        <v>1800</v>
      </c>
      <c r="BL16" s="7">
        <f aca="true" t="shared" si="30" ref="BL16:BL22">(1800-BK16)*0.24</f>
        <v>0</v>
      </c>
      <c r="BM16">
        <v>256</v>
      </c>
      <c r="BN16">
        <v>256</v>
      </c>
      <c r="BP16">
        <f aca="true" t="shared" si="31" ref="BP16:BQ22">BA16+(BM16-256)-256</f>
        <v>-886.278</v>
      </c>
      <c r="BQ16">
        <f t="shared" si="31"/>
        <v>-888.494</v>
      </c>
      <c r="BS16">
        <f aca="true" t="shared" si="32" ref="BS16:BS22">BC16+BL16</f>
        <v>1028.95</v>
      </c>
      <c r="BT16">
        <f aca="true" t="shared" si="33" ref="BT16:BT22">BD16+BL16</f>
        <v>1029.79</v>
      </c>
      <c r="BV16" s="7">
        <f aca="true" t="shared" si="34" ref="BV16:BW22">(BS16+$BV$7-146)*0.996</f>
        <v>921.7348368515202</v>
      </c>
      <c r="BW16" s="7">
        <f t="shared" si="34"/>
        <v>922.5714768515201</v>
      </c>
      <c r="BY16">
        <f aca="true" t="shared" si="35" ref="BY16:BY22">BP16-(945-AM16)</f>
        <v>-886.278</v>
      </c>
      <c r="BZ16">
        <f aca="true" t="shared" si="36" ref="BZ16:BZ22">BQ16-(945-AM16)</f>
        <v>-888.494</v>
      </c>
      <c r="CA16">
        <f aca="true" t="shared" si="37" ref="CA16:CA22">BV16-(945+AS16)</f>
        <v>921.7348368515202</v>
      </c>
      <c r="CB16">
        <f aca="true" t="shared" si="38" ref="CB16:CB22">BW16-(945+AS16)</f>
        <v>922.5714768515201</v>
      </c>
      <c r="CD16" s="7">
        <f>BY16*(-1)-(L16-1024+7.51)*1.031*(-1)</f>
        <v>-37.80761960999985</v>
      </c>
      <c r="CE16" s="7">
        <f>BZ16*(-1)-(M16-1024+7.51)*1.031*(-1)</f>
        <v>-37.99018955999986</v>
      </c>
      <c r="CF16" s="7">
        <f>CA16*(-1)-(Q16-1024-15.56)*1.031*(-1)</f>
        <v>54.01026464847973</v>
      </c>
      <c r="CG16" s="7">
        <f>CB16*(-1)-(R16-1024-15.56)*1.031*(-1)</f>
        <v>54.30092004847984</v>
      </c>
      <c r="CI16" s="7">
        <f>BY16*(-1)-(X16-1024*0.0545)*(-1)</f>
        <v>-62.92500099999995</v>
      </c>
      <c r="CJ16" s="7">
        <f>BZ16*(-1)-(Y16-1024*0.0545)*(-1)</f>
        <v>-63.05957999999998</v>
      </c>
      <c r="CK16" s="7">
        <f>CF16*(-1)-(Z16-1024-15.56)*1.031*(-1)</f>
        <v>-44.49769056747982</v>
      </c>
      <c r="CL16" s="7">
        <f>CG16*(-1)-(AA16-1024-15.56)*1.031*(-1)</f>
        <v>-43.84994317047974</v>
      </c>
    </row>
    <row r="17" spans="1:90" ht="16.5">
      <c r="A17" s="1">
        <v>39348</v>
      </c>
      <c r="B17">
        <v>121.01011</v>
      </c>
      <c r="C17">
        <v>118.47544</v>
      </c>
      <c r="D17">
        <v>64.265328</v>
      </c>
      <c r="E17">
        <v>61.564293</v>
      </c>
      <c r="G17">
        <v>1985.6931</v>
      </c>
      <c r="H17">
        <v>1987.1092</v>
      </c>
      <c r="I17">
        <v>91.848698</v>
      </c>
      <c r="J17">
        <v>93.240146</v>
      </c>
      <c r="L17">
        <f t="shared" si="18"/>
        <v>121.01011</v>
      </c>
      <c r="M17">
        <f t="shared" si="18"/>
        <v>118.47544</v>
      </c>
      <c r="N17">
        <f t="shared" si="19"/>
        <v>64.265328</v>
      </c>
      <c r="O17">
        <f t="shared" si="20"/>
        <v>61.564293</v>
      </c>
      <c r="Q17">
        <f t="shared" si="21"/>
        <v>1985.6931</v>
      </c>
      <c r="R17">
        <f t="shared" si="21"/>
        <v>1987.1092</v>
      </c>
      <c r="S17">
        <f t="shared" si="2"/>
        <v>91.848698</v>
      </c>
      <c r="T17">
        <f t="shared" si="22"/>
        <v>93.240146</v>
      </c>
      <c r="V17" s="7">
        <v>956.16223</v>
      </c>
      <c r="X17" s="2">
        <f t="shared" si="23"/>
        <v>-891.8969020000001</v>
      </c>
      <c r="Y17" s="2">
        <f t="shared" si="24"/>
        <v>-894.597937</v>
      </c>
      <c r="Z17" s="9">
        <f t="shared" si="25"/>
        <v>1048.010928</v>
      </c>
      <c r="AA17" s="9">
        <f t="shared" si="26"/>
        <v>1049.402376</v>
      </c>
      <c r="AC17">
        <f>1.56-((X17+Y17)/2-(-891.276))</f>
        <v>3.5314195000000246</v>
      </c>
      <c r="AD17">
        <f>11.16-((Z17+AA17)/2-1045.761)</f>
        <v>8.214348000000118</v>
      </c>
      <c r="AH17">
        <f t="shared" si="27"/>
        <v>-24.454825410000126</v>
      </c>
      <c r="AI17">
        <f t="shared" si="27"/>
        <v>-24.542615640000122</v>
      </c>
      <c r="AJ17">
        <f t="shared" si="28"/>
        <v>-36.56829809999999</v>
      </c>
      <c r="AK17">
        <f t="shared" si="28"/>
        <v>-36.63684920000003</v>
      </c>
      <c r="AM17">
        <v>945</v>
      </c>
      <c r="AN17">
        <v>-1030.2</v>
      </c>
      <c r="AO17">
        <v>82.8</v>
      </c>
      <c r="AP17">
        <v>-862.3</v>
      </c>
      <c r="AQ17">
        <v>-12.4</v>
      </c>
      <c r="AS17">
        <v>-945</v>
      </c>
      <c r="AT17">
        <v>-71.2</v>
      </c>
      <c r="AU17">
        <v>1015.2</v>
      </c>
      <c r="AV17">
        <v>92.3</v>
      </c>
      <c r="AW17">
        <v>922.2</v>
      </c>
      <c r="BA17" s="17">
        <v>-629.785</v>
      </c>
      <c r="BB17" s="17">
        <v>-632.514</v>
      </c>
      <c r="BC17" s="17">
        <v>1028.15</v>
      </c>
      <c r="BD17" s="17">
        <v>1029.56</v>
      </c>
      <c r="BF17">
        <v>320</v>
      </c>
      <c r="BG17" t="s">
        <v>154</v>
      </c>
      <c r="BH17" t="s">
        <v>58</v>
      </c>
      <c r="BI17">
        <v>1800</v>
      </c>
      <c r="BJ17" s="7">
        <f t="shared" si="29"/>
        <v>0</v>
      </c>
      <c r="BK17">
        <v>1800</v>
      </c>
      <c r="BL17" s="7">
        <f t="shared" si="30"/>
        <v>0</v>
      </c>
      <c r="BM17">
        <v>256</v>
      </c>
      <c r="BN17">
        <v>256</v>
      </c>
      <c r="BP17">
        <f t="shared" si="31"/>
        <v>-885.785</v>
      </c>
      <c r="BQ17">
        <f t="shared" si="31"/>
        <v>-888.514</v>
      </c>
      <c r="BS17">
        <f t="shared" si="32"/>
        <v>1028.15</v>
      </c>
      <c r="BT17">
        <f t="shared" si="33"/>
        <v>1029.56</v>
      </c>
      <c r="BV17" s="7">
        <f t="shared" si="34"/>
        <v>920.9380368515202</v>
      </c>
      <c r="BW17" s="7">
        <f t="shared" si="34"/>
        <v>922.3423968515201</v>
      </c>
      <c r="BY17">
        <f t="shared" si="35"/>
        <v>-885.785</v>
      </c>
      <c r="BZ17">
        <f t="shared" si="36"/>
        <v>-888.514</v>
      </c>
      <c r="CA17">
        <f t="shared" si="37"/>
        <v>920.9380368515202</v>
      </c>
      <c r="CB17">
        <f t="shared" si="38"/>
        <v>922.3423968515201</v>
      </c>
      <c r="CD17" s="7">
        <f>BY17*(-1)-(L17-1024+7.51)*1.031*(-1)</f>
        <v>-37.45476659000008</v>
      </c>
      <c r="CE17" s="7">
        <f>BZ17*(-1)-(M17-1024+7.51)*1.031*(-1)</f>
        <v>-37.33901135999986</v>
      </c>
      <c r="CF17" s="7">
        <f>CA17*(-1)-(Q17-1024-15.56)*1.031*(-1)</f>
        <v>54.525189248479705</v>
      </c>
      <c r="CG17" s="7">
        <f>CB17*(-1)-(R17-1024-15.56)*1.031*(-1)</f>
        <v>54.58082834847994</v>
      </c>
      <c r="CI17" s="7">
        <f>BY17*(-1)-(X17-1024*0.0545)*(-1)</f>
        <v>-61.91990200000009</v>
      </c>
      <c r="CJ17" s="7">
        <f>BZ17*(-1)-(Y17-1024*0.0545)*(-1)</f>
        <v>-61.891936999999984</v>
      </c>
      <c r="CK17" s="7">
        <f>CF17*(-1)-(Z17-1024-15.56)*1.031*(-1)</f>
        <v>-45.81228248047979</v>
      </c>
      <c r="CL17" s="7">
        <f>CG17*(-1)-(AA17-1024-15.56)*1.031*(-1)</f>
        <v>-44.433338692479936</v>
      </c>
    </row>
    <row r="18" spans="1:90" ht="16.5">
      <c r="A18" s="1">
        <v>39376</v>
      </c>
      <c r="B18">
        <v>123.14089</v>
      </c>
      <c r="C18">
        <v>118.91467</v>
      </c>
      <c r="D18">
        <v>74.088737</v>
      </c>
      <c r="E18">
        <v>69.620638</v>
      </c>
      <c r="G18">
        <v>1984.4793</v>
      </c>
      <c r="H18">
        <v>1986.8612</v>
      </c>
      <c r="I18">
        <v>82.911549</v>
      </c>
      <c r="J18">
        <v>85.156814</v>
      </c>
      <c r="L18">
        <f t="shared" si="18"/>
        <v>123.14089</v>
      </c>
      <c r="M18">
        <f t="shared" si="18"/>
        <v>118.91467</v>
      </c>
      <c r="N18">
        <f t="shared" si="19"/>
        <v>74.088737</v>
      </c>
      <c r="O18">
        <f t="shared" si="20"/>
        <v>69.620638</v>
      </c>
      <c r="Q18">
        <f t="shared" si="21"/>
        <v>1984.4793</v>
      </c>
      <c r="R18">
        <f t="shared" si="21"/>
        <v>1986.8612</v>
      </c>
      <c r="S18">
        <f t="shared" si="2"/>
        <v>82.911549</v>
      </c>
      <c r="T18">
        <f t="shared" si="22"/>
        <v>85.156814</v>
      </c>
      <c r="V18" s="7">
        <v>963.81591</v>
      </c>
      <c r="X18" s="2">
        <f t="shared" si="23"/>
        <v>-889.727173</v>
      </c>
      <c r="Y18" s="2">
        <f t="shared" si="24"/>
        <v>-894.195272</v>
      </c>
      <c r="Z18" s="9">
        <f t="shared" si="25"/>
        <v>1046.727459</v>
      </c>
      <c r="AA18" s="9">
        <f t="shared" si="26"/>
        <v>1048.972724</v>
      </c>
      <c r="AC18">
        <f aca="true" t="shared" si="39" ref="AC18:AC29">1.56-((X18+Y18)/2-(-891.276))</f>
        <v>2.2452225000001227</v>
      </c>
      <c r="AD18">
        <f aca="true" t="shared" si="40" ref="AD18:AD43">11.16-((Z18+AA18)/2-1045.761)</f>
        <v>9.070908500000005</v>
      </c>
      <c r="AH18">
        <f t="shared" si="27"/>
        <v>-24.481930590000047</v>
      </c>
      <c r="AI18">
        <f t="shared" si="27"/>
        <v>-24.592796770000064</v>
      </c>
      <c r="AJ18">
        <f t="shared" si="28"/>
        <v>-36.60033929999997</v>
      </c>
      <c r="AK18">
        <f t="shared" si="28"/>
        <v>-36.8108132000001</v>
      </c>
      <c r="AM18">
        <v>945</v>
      </c>
      <c r="AN18">
        <v>-1030.8</v>
      </c>
      <c r="AO18">
        <v>83.3</v>
      </c>
      <c r="AP18">
        <v>-861.5</v>
      </c>
      <c r="AQ18">
        <v>-12.8</v>
      </c>
      <c r="AS18">
        <v>-945</v>
      </c>
      <c r="AT18">
        <v>-72</v>
      </c>
      <c r="AU18">
        <v>1015.7</v>
      </c>
      <c r="AV18">
        <v>93</v>
      </c>
      <c r="AW18">
        <v>921.7</v>
      </c>
      <c r="BA18" s="17">
        <v>-623.328</v>
      </c>
      <c r="BB18" s="17">
        <v>-627.703</v>
      </c>
      <c r="BC18" s="17">
        <v>1023.54</v>
      </c>
      <c r="BD18" s="17">
        <v>1025.86</v>
      </c>
      <c r="BF18">
        <v>324</v>
      </c>
      <c r="BG18" t="s">
        <v>41</v>
      </c>
      <c r="BH18" t="s">
        <v>158</v>
      </c>
      <c r="BI18">
        <v>1800</v>
      </c>
      <c r="BJ18" s="7">
        <f t="shared" si="29"/>
        <v>0</v>
      </c>
      <c r="BK18">
        <v>1800</v>
      </c>
      <c r="BL18" s="7">
        <f t="shared" si="30"/>
        <v>0</v>
      </c>
      <c r="BM18">
        <v>256</v>
      </c>
      <c r="BN18">
        <v>256</v>
      </c>
      <c r="BP18">
        <f t="shared" si="31"/>
        <v>-879.328</v>
      </c>
      <c r="BQ18">
        <f t="shared" si="31"/>
        <v>-883.703</v>
      </c>
      <c r="BS18">
        <f t="shared" si="32"/>
        <v>1023.54</v>
      </c>
      <c r="BT18">
        <f t="shared" si="33"/>
        <v>1025.86</v>
      </c>
      <c r="BV18" s="7">
        <f t="shared" si="34"/>
        <v>916.34647685152</v>
      </c>
      <c r="BW18" s="7">
        <f t="shared" si="34"/>
        <v>918.65719685152</v>
      </c>
      <c r="BY18">
        <f t="shared" si="35"/>
        <v>-879.328</v>
      </c>
      <c r="BZ18">
        <f t="shared" si="36"/>
        <v>-883.703</v>
      </c>
      <c r="CA18">
        <f t="shared" si="37"/>
        <v>916.34647685152</v>
      </c>
      <c r="CB18">
        <f t="shared" si="38"/>
        <v>918.65719685152</v>
      </c>
      <c r="CD18" s="7">
        <f aca="true" t="shared" si="41" ref="CD18:CE20">BY18*(-1)-(L18-1024+7.51)*1.031*(-1)</f>
        <v>-41.71493240999996</v>
      </c>
      <c r="CE18" s="7">
        <f t="shared" si="41"/>
        <v>-41.697165229999996</v>
      </c>
      <c r="CF18" s="7">
        <f aca="true" t="shared" si="42" ref="CF18:CG20">CA18*(-1)-(Q18-1024-15.56)*1.031*(-1)</f>
        <v>57.865321448479904</v>
      </c>
      <c r="CG18" s="7">
        <f t="shared" si="42"/>
        <v>58.0103403484801</v>
      </c>
      <c r="CI18" s="7">
        <f aca="true" t="shared" si="43" ref="CI18:CJ20">BY18*(-1)-(X18-1024*0.0545)*(-1)</f>
        <v>-66.20717300000001</v>
      </c>
      <c r="CJ18" s="7">
        <f t="shared" si="43"/>
        <v>-66.30027200000006</v>
      </c>
      <c r="CK18" s="7">
        <f aca="true" t="shared" si="44" ref="CK18:CL20">CF18*(-1)-(Z18-1024-15.56)*1.031*(-1)</f>
        <v>-50.47567121947995</v>
      </c>
      <c r="CL18" s="7">
        <f t="shared" si="44"/>
        <v>-48.305821904480126</v>
      </c>
    </row>
    <row r="19" spans="1:90" ht="16.5">
      <c r="A19" s="1">
        <v>39405</v>
      </c>
      <c r="B19">
        <v>125.044</v>
      </c>
      <c r="C19">
        <v>119.14157</v>
      </c>
      <c r="D19">
        <v>83.086033</v>
      </c>
      <c r="E19">
        <v>77.064613</v>
      </c>
      <c r="G19">
        <v>1983.1326</v>
      </c>
      <c r="H19">
        <v>1986.4123</v>
      </c>
      <c r="I19">
        <v>74.197835</v>
      </c>
      <c r="J19">
        <v>77.622195</v>
      </c>
      <c r="L19">
        <f t="shared" si="18"/>
        <v>125.044</v>
      </c>
      <c r="M19">
        <f t="shared" si="18"/>
        <v>119.14157</v>
      </c>
      <c r="N19">
        <f t="shared" si="19"/>
        <v>83.086033</v>
      </c>
      <c r="O19">
        <f t="shared" si="20"/>
        <v>77.064613</v>
      </c>
      <c r="Q19">
        <f t="shared" si="21"/>
        <v>1983.1326</v>
      </c>
      <c r="R19">
        <f t="shared" si="21"/>
        <v>1986.4123</v>
      </c>
      <c r="S19">
        <f t="shared" si="2"/>
        <v>74.197835</v>
      </c>
      <c r="T19">
        <f t="shared" si="22"/>
        <v>77.622195</v>
      </c>
      <c r="V19" s="7">
        <v>970.87338</v>
      </c>
      <c r="X19" s="2">
        <f t="shared" si="23"/>
        <v>-887.787347</v>
      </c>
      <c r="Y19" s="2">
        <f t="shared" si="24"/>
        <v>-893.808767</v>
      </c>
      <c r="Z19" s="9">
        <f t="shared" si="25"/>
        <v>1045.071215</v>
      </c>
      <c r="AA19" s="9">
        <f t="shared" si="26"/>
        <v>1048.495575</v>
      </c>
      <c r="AC19">
        <f t="shared" si="39"/>
        <v>1.082057000000018</v>
      </c>
      <c r="AD19">
        <f t="shared" si="40"/>
        <v>10.13760500000004</v>
      </c>
      <c r="AH19">
        <f t="shared" si="27"/>
        <v>-24.504211000000055</v>
      </c>
      <c r="AI19">
        <f t="shared" si="27"/>
        <v>-24.440225670000018</v>
      </c>
      <c r="AJ19">
        <f t="shared" si="28"/>
        <v>-36.86813559999996</v>
      </c>
      <c r="AK19">
        <f t="shared" si="28"/>
        <v>-36.82514630000003</v>
      </c>
      <c r="AM19">
        <v>945</v>
      </c>
      <c r="AN19">
        <v>-1031.7</v>
      </c>
      <c r="AO19">
        <v>83.7</v>
      </c>
      <c r="AP19">
        <v>-860.7</v>
      </c>
      <c r="AQ19">
        <v>-13.4</v>
      </c>
      <c r="AS19">
        <v>-945</v>
      </c>
      <c r="AT19">
        <v>-72.7</v>
      </c>
      <c r="AU19">
        <v>1016</v>
      </c>
      <c r="AV19">
        <v>94</v>
      </c>
      <c r="AW19">
        <v>921.2</v>
      </c>
      <c r="BA19" s="17">
        <v>-621.226</v>
      </c>
      <c r="BB19" s="17">
        <v>-627.303</v>
      </c>
      <c r="BC19" s="17">
        <v>1017.72</v>
      </c>
      <c r="BD19" s="17">
        <v>1021.15</v>
      </c>
      <c r="BF19">
        <v>330</v>
      </c>
      <c r="BG19" t="s">
        <v>43</v>
      </c>
      <c r="BH19" t="s">
        <v>143</v>
      </c>
      <c r="BI19">
        <v>1800</v>
      </c>
      <c r="BJ19" s="7">
        <f t="shared" si="29"/>
        <v>0</v>
      </c>
      <c r="BK19">
        <v>1800</v>
      </c>
      <c r="BL19" s="7">
        <f t="shared" si="30"/>
        <v>0</v>
      </c>
      <c r="BM19">
        <v>256</v>
      </c>
      <c r="BN19">
        <v>256</v>
      </c>
      <c r="BP19">
        <f t="shared" si="31"/>
        <v>-877.226</v>
      </c>
      <c r="BQ19">
        <f t="shared" si="31"/>
        <v>-883.303</v>
      </c>
      <c r="BS19">
        <f t="shared" si="32"/>
        <v>1017.72</v>
      </c>
      <c r="BT19">
        <f t="shared" si="33"/>
        <v>1021.15</v>
      </c>
      <c r="BV19" s="7">
        <f t="shared" si="34"/>
        <v>910.5497568515201</v>
      </c>
      <c r="BW19" s="7">
        <f t="shared" si="34"/>
        <v>913.96603685152</v>
      </c>
      <c r="BY19">
        <f t="shared" si="35"/>
        <v>-877.226</v>
      </c>
      <c r="BZ19">
        <f t="shared" si="36"/>
        <v>-883.303</v>
      </c>
      <c r="CA19">
        <f t="shared" si="37"/>
        <v>910.5497568515201</v>
      </c>
      <c r="CB19">
        <f t="shared" si="38"/>
        <v>913.96603685152</v>
      </c>
      <c r="CD19" s="7">
        <f t="shared" si="41"/>
        <v>-41.854826</v>
      </c>
      <c r="CE19" s="7">
        <f t="shared" si="41"/>
        <v>-41.86323132999996</v>
      </c>
      <c r="CF19" s="7">
        <f t="shared" si="42"/>
        <v>62.27359374847981</v>
      </c>
      <c r="CG19" s="7">
        <f t="shared" si="42"/>
        <v>62.238684448479944</v>
      </c>
      <c r="CI19" s="7">
        <f t="shared" si="43"/>
        <v>-66.36934699999995</v>
      </c>
      <c r="CJ19" s="7">
        <f t="shared" si="43"/>
        <v>-66.31376699999998</v>
      </c>
      <c r="CK19" s="7">
        <f t="shared" si="44"/>
        <v>-56.59153108347988</v>
      </c>
      <c r="CL19" s="7">
        <f t="shared" si="44"/>
        <v>-53.02610662348003</v>
      </c>
    </row>
    <row r="20" spans="1:90" ht="16.5">
      <c r="A20" s="1">
        <v>39437</v>
      </c>
      <c r="B20">
        <v>126.15891</v>
      </c>
      <c r="C20">
        <v>118.71246</v>
      </c>
      <c r="D20">
        <v>88.008913</v>
      </c>
      <c r="E20">
        <v>80.304058</v>
      </c>
      <c r="G20" s="15">
        <v>1982.198</v>
      </c>
      <c r="H20" s="15">
        <v>1986.3023</v>
      </c>
      <c r="I20">
        <v>68.184776</v>
      </c>
      <c r="J20">
        <v>72.470729</v>
      </c>
      <c r="L20">
        <f t="shared" si="18"/>
        <v>126.15891</v>
      </c>
      <c r="M20">
        <f t="shared" si="18"/>
        <v>118.71246</v>
      </c>
      <c r="N20">
        <f t="shared" si="19"/>
        <v>88.008913</v>
      </c>
      <c r="O20">
        <f t="shared" si="20"/>
        <v>80.304058</v>
      </c>
      <c r="Q20">
        <f t="shared" si="21"/>
        <v>1982.198</v>
      </c>
      <c r="R20">
        <f t="shared" si="21"/>
        <v>1986.3023</v>
      </c>
      <c r="S20">
        <f aca="true" t="shared" si="45" ref="S20:S43">I20+(AS20+945)</f>
        <v>68.184776</v>
      </c>
      <c r="T20">
        <f t="shared" si="22"/>
        <v>72.470729</v>
      </c>
      <c r="V20" s="7">
        <v>975.43294</v>
      </c>
      <c r="X20" s="2">
        <f t="shared" si="23"/>
        <v>-887.424027</v>
      </c>
      <c r="Y20" s="2">
        <f t="shared" si="24"/>
        <v>-895.128882</v>
      </c>
      <c r="Z20" s="9">
        <f t="shared" si="25"/>
        <v>1043.617716</v>
      </c>
      <c r="AA20" s="9">
        <f t="shared" si="26"/>
        <v>1047.903669</v>
      </c>
      <c r="AC20" s="16">
        <f t="shared" si="39"/>
        <v>1.5604545000000463</v>
      </c>
      <c r="AD20" s="16">
        <f t="shared" si="40"/>
        <v>11.160307499999963</v>
      </c>
      <c r="AH20">
        <f t="shared" si="27"/>
        <v>-25.290363210000123</v>
      </c>
      <c r="AI20">
        <f t="shared" si="27"/>
        <v>-25.31792826000003</v>
      </c>
      <c r="AJ20">
        <f t="shared" si="28"/>
        <v>-37.35806200000013</v>
      </c>
      <c r="AK20">
        <f t="shared" si="28"/>
        <v>-37.30364229999998</v>
      </c>
      <c r="AM20">
        <v>945</v>
      </c>
      <c r="AN20">
        <v>-1032.7</v>
      </c>
      <c r="AO20">
        <v>83.9</v>
      </c>
      <c r="AP20">
        <v>-860</v>
      </c>
      <c r="AQ20">
        <v>-13.9</v>
      </c>
      <c r="AS20">
        <v>-945</v>
      </c>
      <c r="AT20">
        <v>-74.5</v>
      </c>
      <c r="AU20">
        <v>1016.3</v>
      </c>
      <c r="AV20">
        <v>94.2</v>
      </c>
      <c r="AW20">
        <v>920.8</v>
      </c>
      <c r="AY20" t="s">
        <v>78</v>
      </c>
      <c r="BA20" s="17">
        <v>-621.395</v>
      </c>
      <c r="BB20" s="17">
        <v>-629.133</v>
      </c>
      <c r="BC20" s="17">
        <v>1028.83</v>
      </c>
      <c r="BD20" s="17">
        <v>1033.05</v>
      </c>
      <c r="BF20">
        <v>332</v>
      </c>
      <c r="BG20" t="s">
        <v>144</v>
      </c>
      <c r="BH20" t="s">
        <v>158</v>
      </c>
      <c r="BI20">
        <v>1800</v>
      </c>
      <c r="BJ20" s="7">
        <f t="shared" si="29"/>
        <v>0</v>
      </c>
      <c r="BK20">
        <v>1800</v>
      </c>
      <c r="BL20" s="7">
        <f t="shared" si="30"/>
        <v>0</v>
      </c>
      <c r="BM20">
        <v>256</v>
      </c>
      <c r="BN20">
        <v>256</v>
      </c>
      <c r="BP20">
        <f t="shared" si="31"/>
        <v>-877.395</v>
      </c>
      <c r="BQ20">
        <f t="shared" si="31"/>
        <v>-885.133</v>
      </c>
      <c r="BS20">
        <f t="shared" si="32"/>
        <v>1028.83</v>
      </c>
      <c r="BT20">
        <f t="shared" si="33"/>
        <v>1033.05</v>
      </c>
      <c r="BV20" s="7">
        <f t="shared" si="34"/>
        <v>921.61531685152</v>
      </c>
      <c r="BW20" s="7">
        <f t="shared" si="34"/>
        <v>925.8184368515201</v>
      </c>
      <c r="BY20">
        <f t="shared" si="35"/>
        <v>-877.395</v>
      </c>
      <c r="BZ20">
        <f t="shared" si="36"/>
        <v>-885.133</v>
      </c>
      <c r="CA20">
        <f t="shared" si="37"/>
        <v>921.61531685152</v>
      </c>
      <c r="CB20">
        <f t="shared" si="38"/>
        <v>925.8184368515201</v>
      </c>
      <c r="CD20" s="7">
        <f t="shared" si="41"/>
        <v>-40.53635378999991</v>
      </c>
      <c r="CE20" s="7">
        <f t="shared" si="41"/>
        <v>-40.475643739999896</v>
      </c>
      <c r="CF20" s="7">
        <f t="shared" si="42"/>
        <v>50.24446114848013</v>
      </c>
      <c r="CG20" s="7">
        <f t="shared" si="42"/>
        <v>50.27287444847991</v>
      </c>
      <c r="CI20" s="7">
        <f t="shared" si="43"/>
        <v>-65.83702700000003</v>
      </c>
      <c r="CJ20" s="7">
        <f t="shared" si="43"/>
        <v>-65.80388199999993</v>
      </c>
      <c r="CK20" s="7">
        <f t="shared" si="44"/>
        <v>-46.06095595248016</v>
      </c>
      <c r="CL20" s="7">
        <f t="shared" si="44"/>
        <v>-41.670551709479874</v>
      </c>
    </row>
    <row r="21" spans="1:90" ht="16.5">
      <c r="A21" s="11">
        <v>39528</v>
      </c>
      <c r="B21">
        <v>124.17454</v>
      </c>
      <c r="C21">
        <v>115.8767</v>
      </c>
      <c r="D21">
        <v>71.614878</v>
      </c>
      <c r="E21">
        <v>63.160247</v>
      </c>
      <c r="G21">
        <v>1981.6442</v>
      </c>
      <c r="H21">
        <v>1984.6111</v>
      </c>
      <c r="I21">
        <v>81.611373</v>
      </c>
      <c r="J21">
        <v>84.671309</v>
      </c>
      <c r="L21">
        <f t="shared" si="18"/>
        <v>124.17454</v>
      </c>
      <c r="M21">
        <f t="shared" si="18"/>
        <v>115.8767</v>
      </c>
      <c r="N21">
        <f t="shared" si="19"/>
        <v>71.614878</v>
      </c>
      <c r="O21">
        <f t="shared" si="20"/>
        <v>63.160247</v>
      </c>
      <c r="Q21">
        <f t="shared" si="21"/>
        <v>1981.6442</v>
      </c>
      <c r="R21">
        <f t="shared" si="21"/>
        <v>1984.6111</v>
      </c>
      <c r="S21">
        <f t="shared" si="45"/>
        <v>81.611373</v>
      </c>
      <c r="T21">
        <f t="shared" si="22"/>
        <v>84.671309</v>
      </c>
      <c r="V21" s="7">
        <v>963.32208</v>
      </c>
      <c r="X21" s="2">
        <f t="shared" si="23"/>
        <v>-891.707202</v>
      </c>
      <c r="Y21" s="2">
        <f t="shared" si="24"/>
        <v>-900.161833</v>
      </c>
      <c r="Z21" s="9">
        <f t="shared" si="25"/>
        <v>1044.933453</v>
      </c>
      <c r="AA21" s="9">
        <f t="shared" si="26"/>
        <v>1047.993389</v>
      </c>
      <c r="AC21">
        <f t="shared" si="39"/>
        <v>6.2185175000001305</v>
      </c>
      <c r="AD21">
        <f t="shared" si="40"/>
        <v>10.457579000000042</v>
      </c>
      <c r="AH21">
        <f aca="true" t="shared" si="46" ref="AH21:AI29">(X21-1024*0.0545)-(L21-1024+7.5)*1.031</f>
        <v>-27.52765274000012</v>
      </c>
      <c r="AI21">
        <f t="shared" si="46"/>
        <v>-27.427210700000046</v>
      </c>
      <c r="AJ21">
        <f t="shared" si="28"/>
        <v>-35.47135719999983</v>
      </c>
      <c r="AK21">
        <f t="shared" si="28"/>
        <v>-35.470295100000044</v>
      </c>
      <c r="AM21">
        <v>945</v>
      </c>
      <c r="AN21">
        <v>-1034.3</v>
      </c>
      <c r="AO21">
        <v>83.7</v>
      </c>
      <c r="AP21">
        <v>-860.5</v>
      </c>
      <c r="AQ21">
        <v>-13.4</v>
      </c>
      <c r="AS21">
        <v>-945</v>
      </c>
      <c r="AT21">
        <v>-75</v>
      </c>
      <c r="AU21">
        <v>1015.8</v>
      </c>
      <c r="AV21">
        <v>94.2</v>
      </c>
      <c r="AW21">
        <v>921.2</v>
      </c>
      <c r="BA21" s="17">
        <v>-635.711</v>
      </c>
      <c r="BB21" s="17">
        <v>-644.212</v>
      </c>
      <c r="BC21" s="17">
        <v>1035.71</v>
      </c>
      <c r="BD21" s="17">
        <v>1038.75</v>
      </c>
      <c r="BF21">
        <v>338</v>
      </c>
      <c r="BG21" t="s">
        <v>154</v>
      </c>
      <c r="BH21" t="s">
        <v>58</v>
      </c>
      <c r="BI21">
        <v>1800</v>
      </c>
      <c r="BJ21" s="7">
        <f t="shared" si="29"/>
        <v>0</v>
      </c>
      <c r="BK21">
        <v>1800</v>
      </c>
      <c r="BL21" s="7">
        <f t="shared" si="30"/>
        <v>0</v>
      </c>
      <c r="BM21">
        <v>256</v>
      </c>
      <c r="BN21">
        <v>256</v>
      </c>
      <c r="BP21">
        <f t="shared" si="31"/>
        <v>-891.711</v>
      </c>
      <c r="BQ21">
        <f t="shared" si="31"/>
        <v>-900.212</v>
      </c>
      <c r="BS21">
        <f t="shared" si="32"/>
        <v>1035.71</v>
      </c>
      <c r="BT21">
        <f t="shared" si="33"/>
        <v>1038.75</v>
      </c>
      <c r="BV21" s="7">
        <f t="shared" si="34"/>
        <v>928.4677968515201</v>
      </c>
      <c r="BW21" s="7">
        <f t="shared" si="34"/>
        <v>931.4956368515201</v>
      </c>
      <c r="BY21">
        <f t="shared" si="35"/>
        <v>-891.711</v>
      </c>
      <c r="BZ21">
        <f t="shared" si="36"/>
        <v>-900.212</v>
      </c>
      <c r="CA21">
        <f t="shared" si="37"/>
        <v>928.4677968515201</v>
      </c>
      <c r="CB21">
        <f t="shared" si="38"/>
        <v>931.4956368515201</v>
      </c>
      <c r="CD21" s="7">
        <f>BY21*(-1)-(L21-1024+7.51)*1.031*(-1)</f>
        <v>-28.266239259999907</v>
      </c>
      <c r="CE21" s="7">
        <f>BZ21*(-1)-(M21-1024+7.51)*1.031*(-1)</f>
        <v>-28.320312299999955</v>
      </c>
      <c r="CF21" s="7">
        <f>CA21*(-1)-(Q21-1024-15.56)*1.031*(-1)</f>
        <v>42.82101334847982</v>
      </c>
      <c r="CG21" s="7">
        <f>CB21*(-1)-(R21-1024-15.56)*1.031*(-1)</f>
        <v>42.85204724847995</v>
      </c>
      <c r="CI21" s="7">
        <f>BY21*(-1)-(X21-1024*0.0545)*(-1)</f>
        <v>-55.80420200000003</v>
      </c>
      <c r="CJ21" s="7">
        <f>BZ21*(-1)-(Y21-1024*0.0545)*(-1)</f>
        <v>-55.757833000000005</v>
      </c>
      <c r="CK21" s="7">
        <f>CF21*(-1)-(Z21-1024-15.56)*1.031*(-1)</f>
        <v>-37.28098330547972</v>
      </c>
      <c r="CL21" s="7">
        <f>CG21*(-1)-(AA21-1024-15.56)*1.031*(-1)</f>
        <v>-34.15722318947997</v>
      </c>
    </row>
    <row r="22" spans="1:90" ht="16.5">
      <c r="A22" s="1">
        <v>39548</v>
      </c>
      <c r="B22">
        <v>122.17736</v>
      </c>
      <c r="C22">
        <v>115.47246</v>
      </c>
      <c r="D22">
        <v>64.300585</v>
      </c>
      <c r="E22">
        <v>56.709265</v>
      </c>
      <c r="G22">
        <v>1982.7044</v>
      </c>
      <c r="H22">
        <v>1984.9661</v>
      </c>
      <c r="I22">
        <v>87.636038</v>
      </c>
      <c r="J22">
        <v>90.00397</v>
      </c>
      <c r="L22">
        <f t="shared" si="18"/>
        <v>122.17736</v>
      </c>
      <c r="M22">
        <f t="shared" si="18"/>
        <v>115.47246</v>
      </c>
      <c r="N22">
        <f t="shared" si="19"/>
        <v>64.300585</v>
      </c>
      <c r="O22">
        <f t="shared" si="20"/>
        <v>56.709265</v>
      </c>
      <c r="Q22">
        <f t="shared" si="21"/>
        <v>1982.7044</v>
      </c>
      <c r="R22">
        <f t="shared" si="21"/>
        <v>1984.9661</v>
      </c>
      <c r="S22">
        <f t="shared" si="45"/>
        <v>87.636038</v>
      </c>
      <c r="T22">
        <f t="shared" si="22"/>
        <v>90.00397</v>
      </c>
      <c r="V22" s="7">
        <v>957.8274</v>
      </c>
      <c r="X22" s="2">
        <f t="shared" si="23"/>
        <v>-893.526815</v>
      </c>
      <c r="Y22" s="2">
        <f t="shared" si="24"/>
        <v>-901.118135</v>
      </c>
      <c r="Z22" s="2">
        <f t="shared" si="25"/>
        <v>1045.463438</v>
      </c>
      <c r="AA22" s="2">
        <f t="shared" si="26"/>
        <v>1047.83137</v>
      </c>
      <c r="AC22">
        <f t="shared" si="39"/>
        <v>7.606475000000101</v>
      </c>
      <c r="AD22">
        <f t="shared" si="40"/>
        <v>10.273595999999916</v>
      </c>
      <c r="AH22">
        <f t="shared" si="46"/>
        <v>-27.288173160000156</v>
      </c>
      <c r="AI22">
        <f t="shared" si="46"/>
        <v>-27.96674126000005</v>
      </c>
      <c r="AJ22">
        <f t="shared" si="28"/>
        <v>-36.0344384</v>
      </c>
      <c r="AK22">
        <f t="shared" si="28"/>
        <v>-35.9983191</v>
      </c>
      <c r="AM22">
        <v>945</v>
      </c>
      <c r="AN22">
        <v>-1033.2</v>
      </c>
      <c r="AO22">
        <v>83.3</v>
      </c>
      <c r="AP22">
        <v>-860.6</v>
      </c>
      <c r="AQ22">
        <v>-13.3</v>
      </c>
      <c r="AS22">
        <v>-945</v>
      </c>
      <c r="AT22">
        <v>-74.3</v>
      </c>
      <c r="AU22">
        <v>1015.4</v>
      </c>
      <c r="AV22">
        <v>93.9</v>
      </c>
      <c r="AW22">
        <v>921.4</v>
      </c>
      <c r="BA22" s="17">
        <v>-632.384</v>
      </c>
      <c r="BB22" s="17">
        <v>-639.887</v>
      </c>
      <c r="BC22" s="17">
        <v>1034.63</v>
      </c>
      <c r="BD22" s="17">
        <v>1037.14</v>
      </c>
      <c r="BF22">
        <v>316</v>
      </c>
      <c r="BG22" t="s">
        <v>154</v>
      </c>
      <c r="BH22" t="s">
        <v>153</v>
      </c>
      <c r="BI22">
        <v>1800</v>
      </c>
      <c r="BJ22" s="7">
        <f t="shared" si="29"/>
        <v>0</v>
      </c>
      <c r="BK22">
        <v>1800</v>
      </c>
      <c r="BL22" s="7">
        <f t="shared" si="30"/>
        <v>0</v>
      </c>
      <c r="BM22">
        <v>256</v>
      </c>
      <c r="BN22">
        <v>256</v>
      </c>
      <c r="BP22">
        <f t="shared" si="31"/>
        <v>-888.384</v>
      </c>
      <c r="BQ22">
        <f t="shared" si="31"/>
        <v>-895.887</v>
      </c>
      <c r="BS22">
        <f t="shared" si="32"/>
        <v>1034.63</v>
      </c>
      <c r="BT22">
        <f t="shared" si="33"/>
        <v>1037.14</v>
      </c>
      <c r="BV22" s="7">
        <f t="shared" si="34"/>
        <v>927.3921168515202</v>
      </c>
      <c r="BW22" s="7">
        <f t="shared" si="34"/>
        <v>929.8920768515202</v>
      </c>
      <c r="BY22">
        <f t="shared" si="35"/>
        <v>-888.384</v>
      </c>
      <c r="BZ22">
        <f t="shared" si="36"/>
        <v>-895.887</v>
      </c>
      <c r="CA22">
        <f t="shared" si="37"/>
        <v>927.3921168515202</v>
      </c>
      <c r="CB22">
        <f t="shared" si="38"/>
        <v>929.8920768515202</v>
      </c>
      <c r="CD22" s="7">
        <f>BY22*(-1)-(L22-1024+7.51)*1.031*(-1)</f>
        <v>-33.652331839999874</v>
      </c>
      <c r="CE22" s="7">
        <f>BZ22*(-1)-(M22-1024+7.51)*1.031*(-1)</f>
        <v>-33.06208374000005</v>
      </c>
      <c r="CF22" s="7">
        <f>CA22*(-1)-(Q22-1024-15.56)*1.031*(-1)</f>
        <v>44.98975954847981</v>
      </c>
      <c r="CG22" s="7">
        <f>CB22*(-1)-(R22-1024-15.56)*1.031*(-1)</f>
        <v>44.82161224847994</v>
      </c>
      <c r="CI22" s="7">
        <f>BY22*(-1)-(X22-1024*0.0545)*(-1)</f>
        <v>-60.950815000000034</v>
      </c>
      <c r="CJ22" s="7">
        <f>BZ22*(-1)-(Y22-1024*0.0545)*(-1)</f>
        <v>-61.0391350000001</v>
      </c>
      <c r="CK22" s="7">
        <f>CF22*(-1)-(Z22-1024-15.56)*1.031*(-1)</f>
        <v>-38.90331497047981</v>
      </c>
      <c r="CL22" s="7">
        <f>CG22*(-1)-(AA22-1024-15.56)*1.031*(-1)</f>
        <v>-36.29382977847983</v>
      </c>
    </row>
    <row r="23" spans="1:75" ht="16.5">
      <c r="A23" s="1">
        <v>39569</v>
      </c>
      <c r="B23">
        <v>121.67075</v>
      </c>
      <c r="C23">
        <v>114.51445</v>
      </c>
      <c r="D23">
        <v>58.559119</v>
      </c>
      <c r="E23">
        <v>51.002167</v>
      </c>
      <c r="G23" s="19">
        <v>1983</v>
      </c>
      <c r="H23" s="19">
        <v>1985</v>
      </c>
      <c r="I23">
        <v>93.202894</v>
      </c>
      <c r="J23">
        <v>95.184131</v>
      </c>
      <c r="L23">
        <f t="shared" si="18"/>
        <v>121.67075</v>
      </c>
      <c r="M23">
        <f t="shared" si="18"/>
        <v>114.51445</v>
      </c>
      <c r="N23">
        <f t="shared" si="19"/>
        <v>58.559119</v>
      </c>
      <c r="O23">
        <f t="shared" si="20"/>
        <v>51.002167</v>
      </c>
      <c r="Q23">
        <f t="shared" si="21"/>
        <v>1983</v>
      </c>
      <c r="R23">
        <f t="shared" si="21"/>
        <v>1985</v>
      </c>
      <c r="S23">
        <f t="shared" si="45"/>
        <v>93.202894</v>
      </c>
      <c r="T23">
        <f t="shared" si="22"/>
        <v>95.184131</v>
      </c>
      <c r="V23" s="7">
        <v>952.39025</v>
      </c>
      <c r="X23" s="2">
        <f t="shared" si="23"/>
        <v>-893.831131</v>
      </c>
      <c r="Y23" s="2">
        <f t="shared" si="24"/>
        <v>-901.388083</v>
      </c>
      <c r="Z23" s="2">
        <f t="shared" si="25"/>
        <v>1045.593144</v>
      </c>
      <c r="AA23" s="2">
        <f t="shared" si="26"/>
        <v>1047.5743810000001</v>
      </c>
      <c r="AC23">
        <f t="shared" si="39"/>
        <v>7.893607000000143</v>
      </c>
      <c r="AD23">
        <f t="shared" si="40"/>
        <v>10.337237500000047</v>
      </c>
      <c r="AH23">
        <f t="shared" si="46"/>
        <v>-27.070174250000036</v>
      </c>
      <c r="AI23">
        <f t="shared" si="46"/>
        <v>-27.248980950000146</v>
      </c>
      <c r="AJ23">
        <f t="shared" si="28"/>
        <v>-36.20949600000006</v>
      </c>
      <c r="AK23">
        <f t="shared" si="28"/>
        <v>-36.29025899999988</v>
      </c>
      <c r="AM23">
        <v>945</v>
      </c>
      <c r="AN23">
        <v>-1033.3</v>
      </c>
      <c r="AO23">
        <v>83.8</v>
      </c>
      <c r="AP23">
        <v>-860.6</v>
      </c>
      <c r="AQ23">
        <v>-13.4</v>
      </c>
      <c r="AS23">
        <v>-945</v>
      </c>
      <c r="AT23">
        <v>-74</v>
      </c>
      <c r="AU23">
        <v>1015.2</v>
      </c>
      <c r="AV23">
        <v>93.8</v>
      </c>
      <c r="AW23">
        <v>921.7</v>
      </c>
      <c r="BV23" s="7"/>
      <c r="BW23" s="7"/>
    </row>
    <row r="24" spans="1:75" ht="16.5">
      <c r="A24" s="1"/>
      <c r="V24" s="7"/>
      <c r="X24" s="2"/>
      <c r="Y24" s="2"/>
      <c r="Z24" s="2"/>
      <c r="AA24" s="2"/>
      <c r="BV24" s="7"/>
      <c r="BW24" s="7"/>
    </row>
    <row r="25" spans="1:75" ht="16.5">
      <c r="A25" s="1">
        <v>39669</v>
      </c>
      <c r="B25" s="13">
        <v>122</v>
      </c>
      <c r="C25" s="13">
        <v>113.2</v>
      </c>
      <c r="D25" s="13">
        <v>53.6</v>
      </c>
      <c r="E25" s="13">
        <v>44.25</v>
      </c>
      <c r="F25" s="13"/>
      <c r="G25" s="13" t="s">
        <v>77</v>
      </c>
      <c r="H25" s="13" t="s">
        <v>77</v>
      </c>
      <c r="I25" s="13">
        <v>98.3</v>
      </c>
      <c r="J25" s="13">
        <v>100.9</v>
      </c>
      <c r="L25">
        <f t="shared" si="18"/>
        <v>122</v>
      </c>
      <c r="M25">
        <f t="shared" si="18"/>
        <v>113.2</v>
      </c>
      <c r="N25">
        <f t="shared" si="19"/>
        <v>53.6</v>
      </c>
      <c r="O25">
        <f t="shared" si="20"/>
        <v>44.25</v>
      </c>
      <c r="Q25" t="str">
        <f t="shared" si="21"/>
        <v>No</v>
      </c>
      <c r="R25" t="str">
        <f t="shared" si="21"/>
        <v>No</v>
      </c>
      <c r="S25">
        <f t="shared" si="45"/>
        <v>98.3</v>
      </c>
      <c r="T25">
        <f t="shared" si="22"/>
        <v>100.9</v>
      </c>
      <c r="V25" s="7">
        <v>946.55698</v>
      </c>
      <c r="X25" s="2">
        <f t="shared" si="23"/>
        <v>-892.9569799999999</v>
      </c>
      <c r="Y25" s="2">
        <f t="shared" si="24"/>
        <v>-902.30698</v>
      </c>
      <c r="Z25" s="2">
        <f t="shared" si="25"/>
        <v>1044.85698</v>
      </c>
      <c r="AA25" s="2">
        <f t="shared" si="26"/>
        <v>1047.45698</v>
      </c>
      <c r="AC25">
        <f t="shared" si="39"/>
        <v>7.915979999999932</v>
      </c>
      <c r="AD25">
        <f t="shared" si="40"/>
        <v>10.764019999999991</v>
      </c>
      <c r="AH25">
        <f t="shared" si="46"/>
        <v>-26.535480000000007</v>
      </c>
      <c r="AI25">
        <f t="shared" si="46"/>
        <v>-26.812680000000114</v>
      </c>
      <c r="AM25">
        <v>945</v>
      </c>
      <c r="AN25">
        <v>-1033.5</v>
      </c>
      <c r="AO25">
        <v>83.7</v>
      </c>
      <c r="AP25">
        <v>-859.4</v>
      </c>
      <c r="AQ25">
        <v>-13.3</v>
      </c>
      <c r="AS25">
        <v>-945</v>
      </c>
      <c r="AT25">
        <v>-74.2</v>
      </c>
      <c r="AU25">
        <v>1015.7</v>
      </c>
      <c r="AV25">
        <v>95.1</v>
      </c>
      <c r="AW25">
        <v>921.5</v>
      </c>
      <c r="BV25" s="7"/>
      <c r="BW25" s="7"/>
    </row>
    <row r="26" spans="1:75" ht="16.5">
      <c r="A26" s="1">
        <v>39676</v>
      </c>
      <c r="B26" s="13">
        <v>122.46658</v>
      </c>
      <c r="C26" s="13">
        <v>113.2198</v>
      </c>
      <c r="D26" s="13">
        <v>54.608084</v>
      </c>
      <c r="E26" s="13">
        <v>45.138278</v>
      </c>
      <c r="F26" s="13"/>
      <c r="G26" s="13">
        <v>1982.6847</v>
      </c>
      <c r="H26" s="13">
        <v>1985.4448</v>
      </c>
      <c r="I26" s="13">
        <v>96.822471</v>
      </c>
      <c r="J26" s="13">
        <v>99.645252</v>
      </c>
      <c r="L26">
        <f t="shared" si="18"/>
        <v>122.46658</v>
      </c>
      <c r="M26">
        <f t="shared" si="18"/>
        <v>113.2198</v>
      </c>
      <c r="N26">
        <f t="shared" si="19"/>
        <v>54.608084</v>
      </c>
      <c r="O26">
        <f t="shared" si="20"/>
        <v>45.138278</v>
      </c>
      <c r="Q26">
        <f t="shared" si="21"/>
        <v>1982.6847</v>
      </c>
      <c r="R26">
        <f t="shared" si="21"/>
        <v>1985.4448</v>
      </c>
      <c r="S26">
        <f t="shared" si="45"/>
        <v>96.822471</v>
      </c>
      <c r="T26">
        <f t="shared" si="22"/>
        <v>99.645252</v>
      </c>
      <c r="V26" s="7">
        <v>947.68969</v>
      </c>
      <c r="X26" s="2">
        <f t="shared" si="23"/>
        <v>-893.0816060000001</v>
      </c>
      <c r="Y26" s="2">
        <f t="shared" si="24"/>
        <v>-902.551412</v>
      </c>
      <c r="Z26" s="2">
        <f t="shared" si="25"/>
        <v>1044.512161</v>
      </c>
      <c r="AA26" s="2">
        <f t="shared" si="26"/>
        <v>1047.334942</v>
      </c>
      <c r="AC26">
        <f t="shared" si="39"/>
        <v>8.100509000000043</v>
      </c>
      <c r="AD26">
        <f t="shared" si="40"/>
        <v>10.997448499999937</v>
      </c>
      <c r="AH26">
        <f t="shared" si="46"/>
        <v>-27.141149980000137</v>
      </c>
      <c r="AI26">
        <f t="shared" si="46"/>
        <v>-27.077525800000103</v>
      </c>
      <c r="AJ26">
        <f aca="true" t="shared" si="47" ref="AJ26:AJ37">(Z26-2048*0.0545)-(Q26-1024-15.56)*1.031+2.5</f>
        <v>-36.96540469999991</v>
      </c>
      <c r="AK26">
        <f aca="true" t="shared" si="48" ref="AK26:AK37">(AA26-2048*0.0545)-(R26-1024-15.56)*1.031+2.5</f>
        <v>-36.98828679999997</v>
      </c>
      <c r="AM26">
        <v>945</v>
      </c>
      <c r="AN26">
        <v>-1033.5</v>
      </c>
      <c r="AO26">
        <v>84</v>
      </c>
      <c r="AP26">
        <v>-859.1</v>
      </c>
      <c r="AQ26">
        <v>-13.2</v>
      </c>
      <c r="AS26">
        <v>-945</v>
      </c>
      <c r="AT26">
        <v>-74.5</v>
      </c>
      <c r="AU26">
        <v>1015.8</v>
      </c>
      <c r="AV26">
        <v>95.2</v>
      </c>
      <c r="AW26">
        <v>921.4</v>
      </c>
      <c r="BV26" s="7"/>
      <c r="BW26" s="7"/>
    </row>
    <row r="27" spans="1:90" ht="16.5">
      <c r="A27" s="1">
        <v>39694</v>
      </c>
      <c r="B27" s="13">
        <v>123.25357</v>
      </c>
      <c r="C27" s="13">
        <v>113.67747</v>
      </c>
      <c r="D27" s="13">
        <v>58.637668</v>
      </c>
      <c r="E27" s="13">
        <v>48.886235</v>
      </c>
      <c r="G27" s="13">
        <v>1982.2651</v>
      </c>
      <c r="H27" s="13">
        <v>1985.4005</v>
      </c>
      <c r="I27" s="13">
        <v>92.734977</v>
      </c>
      <c r="J27" s="13">
        <v>95.964224</v>
      </c>
      <c r="L27">
        <f t="shared" si="18"/>
        <v>123.25357</v>
      </c>
      <c r="M27">
        <f t="shared" si="18"/>
        <v>113.67747</v>
      </c>
      <c r="N27">
        <f t="shared" si="19"/>
        <v>58.637668</v>
      </c>
      <c r="O27">
        <f t="shared" si="20"/>
        <v>48.886235</v>
      </c>
      <c r="Q27">
        <f t="shared" si="21"/>
        <v>1982.2651</v>
      </c>
      <c r="R27">
        <f t="shared" si="21"/>
        <v>1985.4005</v>
      </c>
      <c r="S27">
        <f t="shared" si="45"/>
        <v>92.734977</v>
      </c>
      <c r="T27">
        <f t="shared" si="22"/>
        <v>95.964224</v>
      </c>
      <c r="V27" s="7">
        <v>951.34891</v>
      </c>
      <c r="X27" s="2">
        <f t="shared" si="23"/>
        <v>-892.7112420000001</v>
      </c>
      <c r="Y27" s="2">
        <f t="shared" si="24"/>
        <v>-902.462675</v>
      </c>
      <c r="Z27" s="2">
        <f t="shared" si="25"/>
        <v>1044.083887</v>
      </c>
      <c r="AA27" s="2">
        <f t="shared" si="26"/>
        <v>1047.313134</v>
      </c>
      <c r="AC27">
        <f t="shared" si="39"/>
        <v>7.870958500000084</v>
      </c>
      <c r="AD27">
        <f t="shared" si="40"/>
        <v>11.222489500000083</v>
      </c>
      <c r="AH27">
        <f t="shared" si="46"/>
        <v>-27.58217267000009</v>
      </c>
      <c r="AI27">
        <f t="shared" si="46"/>
        <v>-27.460646569999994</v>
      </c>
      <c r="AJ27">
        <f t="shared" si="47"/>
        <v>-36.96107110000003</v>
      </c>
      <c r="AK27">
        <f t="shared" si="48"/>
        <v>-36.96442149999996</v>
      </c>
      <c r="AM27">
        <v>945</v>
      </c>
      <c r="AN27">
        <v>-1033.5</v>
      </c>
      <c r="AO27">
        <v>84</v>
      </c>
      <c r="AP27">
        <v>-858.8</v>
      </c>
      <c r="AQ27">
        <v>-13.4</v>
      </c>
      <c r="AS27">
        <v>-945</v>
      </c>
      <c r="AT27">
        <v>-74.7</v>
      </c>
      <c r="AU27">
        <v>1016.2</v>
      </c>
      <c r="AV27">
        <v>96.1</v>
      </c>
      <c r="AW27">
        <v>921.3</v>
      </c>
      <c r="BA27" s="17">
        <v>-678.238</v>
      </c>
      <c r="BB27" s="17">
        <v>-687.96</v>
      </c>
      <c r="BC27" s="17">
        <v>1023.64</v>
      </c>
      <c r="BD27" s="17">
        <v>1026.87</v>
      </c>
      <c r="BF27">
        <v>265</v>
      </c>
      <c r="BG27" t="s">
        <v>146</v>
      </c>
      <c r="BH27" t="s">
        <v>57</v>
      </c>
      <c r="BI27">
        <v>1800</v>
      </c>
      <c r="BJ27" s="7">
        <f aca="true" t="shared" si="49" ref="BJ27:BJ36">(1800-BI27)*0.25</f>
        <v>0</v>
      </c>
      <c r="BK27">
        <v>1800</v>
      </c>
      <c r="BL27" s="7">
        <f aca="true" t="shared" si="50" ref="BL27:BL36">(1800-BK27)*0.24</f>
        <v>0</v>
      </c>
      <c r="BM27">
        <v>306</v>
      </c>
      <c r="BN27">
        <v>306</v>
      </c>
      <c r="BP27">
        <f aca="true" t="shared" si="51" ref="BP27:BQ36">BA27+(BM27-256)-256</f>
        <v>-884.238</v>
      </c>
      <c r="BQ27">
        <f t="shared" si="51"/>
        <v>-893.96</v>
      </c>
      <c r="BS27">
        <f aca="true" t="shared" si="52" ref="BS27:BS36">BC27+BL27</f>
        <v>1023.64</v>
      </c>
      <c r="BT27">
        <f aca="true" t="shared" si="53" ref="BT27:BT36">BD27+BL27</f>
        <v>1026.87</v>
      </c>
      <c r="BV27" s="7">
        <f aca="true" t="shared" si="54" ref="BV27:BW36">(BS27+$BV$7-146)*0.996</f>
        <v>916.4460768515199</v>
      </c>
      <c r="BW27" s="7">
        <f t="shared" si="54"/>
        <v>919.6631568515201</v>
      </c>
      <c r="BY27">
        <f aca="true" t="shared" si="55" ref="BY27:BY36">BP27-(945-AM27)</f>
        <v>-884.238</v>
      </c>
      <c r="BZ27">
        <f aca="true" t="shared" si="56" ref="BZ27:BZ36">BQ27-(945-AM27)</f>
        <v>-893.96</v>
      </c>
      <c r="CA27">
        <f aca="true" t="shared" si="57" ref="CA27:CA36">BV27-(945+AS27)</f>
        <v>916.4460768515199</v>
      </c>
      <c r="CB27">
        <f aca="true" t="shared" si="58" ref="CB27:CB36">BW27-(945+AS27)</f>
        <v>919.6631568515201</v>
      </c>
      <c r="CD27" s="7">
        <f aca="true" t="shared" si="59" ref="CD27:CE29">BY27*(-1)-(L27-1024+7.51)*1.031*(-1)</f>
        <v>-36.688759329999925</v>
      </c>
      <c r="CE27" s="7">
        <f t="shared" si="59"/>
        <v>-36.83971842999995</v>
      </c>
      <c r="CF27" s="7">
        <f aca="true" t="shared" si="60" ref="CF27:CG29">CA27*(-1)-(Q27-1024-15.56)*1.031*(-1)</f>
        <v>55.48288124848011</v>
      </c>
      <c r="CG27" s="7">
        <f t="shared" si="60"/>
        <v>55.498398648479906</v>
      </c>
      <c r="CI27" s="7">
        <f aca="true" t="shared" si="61" ref="CI27:CJ29">BY27*(-1)-(X27-1024*0.0545)*(-1)</f>
        <v>-64.28124200000002</v>
      </c>
      <c r="CJ27" s="7">
        <f t="shared" si="61"/>
        <v>-64.31067499999995</v>
      </c>
      <c r="CK27" s="7">
        <f aca="true" t="shared" si="62" ref="CK27:CL29">CF27*(-1)-(Z27-1024-15.56)*1.031*(-1)</f>
        <v>-50.81875375148011</v>
      </c>
      <c r="CL27" s="7">
        <f t="shared" si="62"/>
        <v>-47.50491749447992</v>
      </c>
    </row>
    <row r="28" spans="1:90" ht="16.5">
      <c r="A28" s="1">
        <v>39716</v>
      </c>
      <c r="B28" s="13">
        <v>125.62729</v>
      </c>
      <c r="C28" s="13">
        <v>114.82459</v>
      </c>
      <c r="D28" s="13">
        <v>66.799901</v>
      </c>
      <c r="E28" s="13">
        <v>55.819128</v>
      </c>
      <c r="F28" s="13"/>
      <c r="G28" s="13">
        <v>1981.1154</v>
      </c>
      <c r="H28" s="13">
        <v>1985.0762</v>
      </c>
      <c r="I28" s="13">
        <v>85.310492</v>
      </c>
      <c r="J28" s="13">
        <v>89.513091</v>
      </c>
      <c r="L28">
        <f t="shared" si="18"/>
        <v>125.62729</v>
      </c>
      <c r="M28">
        <f t="shared" si="18"/>
        <v>114.82459</v>
      </c>
      <c r="N28">
        <f t="shared" si="19"/>
        <v>66.799901</v>
      </c>
      <c r="O28">
        <f t="shared" si="20"/>
        <v>55.819128</v>
      </c>
      <c r="Q28">
        <f t="shared" si="21"/>
        <v>1981.1154</v>
      </c>
      <c r="R28">
        <f t="shared" si="21"/>
        <v>1985.0762</v>
      </c>
      <c r="S28">
        <f t="shared" si="45"/>
        <v>85.310492</v>
      </c>
      <c r="T28">
        <f t="shared" si="22"/>
        <v>89.513091</v>
      </c>
      <c r="V28" s="7">
        <v>956.89642</v>
      </c>
      <c r="X28" s="2">
        <f t="shared" si="23"/>
        <v>-890.0965190000001</v>
      </c>
      <c r="Y28" s="2">
        <f t="shared" si="24"/>
        <v>-901.077292</v>
      </c>
      <c r="Z28" s="2">
        <f t="shared" si="25"/>
        <v>1042.206912</v>
      </c>
      <c r="AA28" s="2">
        <f t="shared" si="26"/>
        <v>1046.409511</v>
      </c>
      <c r="AC28">
        <f t="shared" si="39"/>
        <v>5.870905500000104</v>
      </c>
      <c r="AD28">
        <f t="shared" si="40"/>
        <v>12.61278849999977</v>
      </c>
      <c r="AH28">
        <f t="shared" si="46"/>
        <v>-27.41475499000012</v>
      </c>
      <c r="AI28">
        <f t="shared" si="46"/>
        <v>-27.25794429000007</v>
      </c>
      <c r="AJ28">
        <f t="shared" si="47"/>
        <v>-37.65270539999972</v>
      </c>
      <c r="AK28">
        <f t="shared" si="48"/>
        <v>-37.53369119999991</v>
      </c>
      <c r="AM28">
        <v>945</v>
      </c>
      <c r="AN28">
        <v>-1034.1</v>
      </c>
      <c r="AO28">
        <v>84.6</v>
      </c>
      <c r="AP28">
        <v>-857</v>
      </c>
      <c r="AQ28">
        <v>-13.9</v>
      </c>
      <c r="AS28">
        <v>-945</v>
      </c>
      <c r="AT28">
        <v>-75.4</v>
      </c>
      <c r="AU28">
        <v>1016.5</v>
      </c>
      <c r="AV28">
        <v>96.1</v>
      </c>
      <c r="AW28">
        <v>920.8</v>
      </c>
      <c r="BA28" s="17">
        <v>-672.659</v>
      </c>
      <c r="BB28" s="17">
        <v>-683.618</v>
      </c>
      <c r="BC28" s="17">
        <v>1020.61</v>
      </c>
      <c r="BD28" s="17">
        <v>1024.74</v>
      </c>
      <c r="BF28">
        <v>279</v>
      </c>
      <c r="BG28" t="s">
        <v>147</v>
      </c>
      <c r="BH28" t="s">
        <v>157</v>
      </c>
      <c r="BI28">
        <v>1800</v>
      </c>
      <c r="BJ28" s="7">
        <f t="shared" si="49"/>
        <v>0</v>
      </c>
      <c r="BK28">
        <v>1800</v>
      </c>
      <c r="BL28" s="7">
        <f t="shared" si="50"/>
        <v>0</v>
      </c>
      <c r="BM28">
        <v>306</v>
      </c>
      <c r="BN28">
        <v>306</v>
      </c>
      <c r="BP28">
        <f t="shared" si="51"/>
        <v>-878.659</v>
      </c>
      <c r="BQ28">
        <f t="shared" si="51"/>
        <v>-889.618</v>
      </c>
      <c r="BS28">
        <f t="shared" si="52"/>
        <v>1020.61</v>
      </c>
      <c r="BT28">
        <f t="shared" si="53"/>
        <v>1024.74</v>
      </c>
      <c r="BV28" s="7">
        <f t="shared" si="54"/>
        <v>913.42819685152</v>
      </c>
      <c r="BW28" s="7">
        <f t="shared" si="54"/>
        <v>917.5416768515202</v>
      </c>
      <c r="BY28">
        <f t="shared" si="55"/>
        <v>-878.659</v>
      </c>
      <c r="BZ28">
        <f t="shared" si="56"/>
        <v>-889.618</v>
      </c>
      <c r="CA28">
        <f t="shared" si="57"/>
        <v>913.42819685152</v>
      </c>
      <c r="CB28">
        <f t="shared" si="58"/>
        <v>917.5416768515202</v>
      </c>
      <c r="CD28" s="7">
        <f t="shared" si="59"/>
        <v>-39.820454009999935</v>
      </c>
      <c r="CE28" s="7">
        <f t="shared" si="59"/>
        <v>-39.999037709999925</v>
      </c>
      <c r="CF28" s="7">
        <f t="shared" si="60"/>
        <v>57.31542054847978</v>
      </c>
      <c r="CG28" s="7">
        <f t="shared" si="60"/>
        <v>57.28552534847984</v>
      </c>
      <c r="CI28" s="7">
        <f t="shared" si="61"/>
        <v>-67.24551900000006</v>
      </c>
      <c r="CJ28" s="7">
        <f t="shared" si="61"/>
        <v>-67.267292</v>
      </c>
      <c r="CK28" s="7">
        <f t="shared" si="62"/>
        <v>-54.58645427647967</v>
      </c>
      <c r="CL28" s="7">
        <f t="shared" si="62"/>
        <v>-50.22367950747977</v>
      </c>
    </row>
    <row r="29" spans="1:90" ht="16.5">
      <c r="A29" s="1">
        <v>39738</v>
      </c>
      <c r="B29" s="13">
        <v>127.35231</v>
      </c>
      <c r="C29" s="13">
        <v>115.42906</v>
      </c>
      <c r="D29" s="13">
        <v>74.91789</v>
      </c>
      <c r="E29" s="13">
        <v>62.688576</v>
      </c>
      <c r="F29" s="13"/>
      <c r="G29" s="13">
        <v>1980.2736</v>
      </c>
      <c r="H29" s="13">
        <v>1985.2784</v>
      </c>
      <c r="I29" s="13">
        <v>78.263246</v>
      </c>
      <c r="J29" s="13">
        <v>83.398453</v>
      </c>
      <c r="L29">
        <f t="shared" si="18"/>
        <v>127.35231</v>
      </c>
      <c r="M29">
        <f t="shared" si="18"/>
        <v>115.42906</v>
      </c>
      <c r="N29">
        <f t="shared" si="19"/>
        <v>74.91789</v>
      </c>
      <c r="O29">
        <f t="shared" si="20"/>
        <v>62.688576</v>
      </c>
      <c r="Q29">
        <f t="shared" si="21"/>
        <v>1980.2736</v>
      </c>
      <c r="R29">
        <f t="shared" si="21"/>
        <v>1985.2784</v>
      </c>
      <c r="S29">
        <f t="shared" si="45"/>
        <v>78.263246</v>
      </c>
      <c r="T29">
        <f t="shared" si="22"/>
        <v>83.398453</v>
      </c>
      <c r="V29" s="7">
        <v>962.93143</v>
      </c>
      <c r="X29" s="2">
        <f t="shared" si="23"/>
        <v>-888.0135399999999</v>
      </c>
      <c r="Y29" s="2">
        <f t="shared" si="24"/>
        <v>-900.242854</v>
      </c>
      <c r="Z29" s="2">
        <f t="shared" si="25"/>
        <v>1041.194676</v>
      </c>
      <c r="AA29" s="2">
        <f t="shared" si="26"/>
        <v>1046.3298829999999</v>
      </c>
      <c r="AC29">
        <f t="shared" si="39"/>
        <v>4.412197000000047</v>
      </c>
      <c r="AD29">
        <f t="shared" si="40"/>
        <v>13.15872049999999</v>
      </c>
      <c r="AH29">
        <f t="shared" si="46"/>
        <v>-27.110271609999927</v>
      </c>
      <c r="AI29">
        <f t="shared" si="46"/>
        <v>-27.046714860000066</v>
      </c>
      <c r="AJ29">
        <f t="shared" si="47"/>
        <v>-37.79704559999993</v>
      </c>
      <c r="AK29">
        <f t="shared" si="48"/>
        <v>-37.82178739999995</v>
      </c>
      <c r="AM29">
        <v>945</v>
      </c>
      <c r="AN29">
        <v>-1034.7</v>
      </c>
      <c r="AO29">
        <v>84.9</v>
      </c>
      <c r="AP29">
        <v>-857.8</v>
      </c>
      <c r="AQ29">
        <v>-14.5</v>
      </c>
      <c r="AS29">
        <v>-945</v>
      </c>
      <c r="AT29">
        <v>-76</v>
      </c>
      <c r="AU29">
        <v>1016.8</v>
      </c>
      <c r="AV29">
        <v>96.9</v>
      </c>
      <c r="AW29">
        <v>920.4</v>
      </c>
      <c r="BA29" s="17">
        <v>-625.937</v>
      </c>
      <c r="BB29" s="17">
        <v>-638.356</v>
      </c>
      <c r="BC29" s="17">
        <v>1031.76</v>
      </c>
      <c r="BD29" s="17">
        <v>1036.8</v>
      </c>
      <c r="BF29">
        <v>310</v>
      </c>
      <c r="BG29" t="s">
        <v>155</v>
      </c>
      <c r="BH29" t="s">
        <v>157</v>
      </c>
      <c r="BI29">
        <v>1800</v>
      </c>
      <c r="BJ29" s="7">
        <f t="shared" si="49"/>
        <v>0</v>
      </c>
      <c r="BK29">
        <v>1800</v>
      </c>
      <c r="BL29" s="7">
        <f t="shared" si="50"/>
        <v>0</v>
      </c>
      <c r="BM29">
        <v>256</v>
      </c>
      <c r="BN29">
        <v>256</v>
      </c>
      <c r="BP29">
        <f t="shared" si="51"/>
        <v>-881.937</v>
      </c>
      <c r="BQ29">
        <f t="shared" si="51"/>
        <v>-894.356</v>
      </c>
      <c r="BS29">
        <f t="shared" si="52"/>
        <v>1031.76</v>
      </c>
      <c r="BT29">
        <f t="shared" si="53"/>
        <v>1036.8</v>
      </c>
      <c r="BV29" s="7">
        <f t="shared" si="54"/>
        <v>924.5335968515201</v>
      </c>
      <c r="BW29" s="7">
        <f t="shared" si="54"/>
        <v>929.55343685152</v>
      </c>
      <c r="BY29">
        <f t="shared" si="55"/>
        <v>-881.937</v>
      </c>
      <c r="BZ29">
        <f t="shared" si="56"/>
        <v>-894.356</v>
      </c>
      <c r="CA29">
        <f t="shared" si="57"/>
        <v>924.5335968515201</v>
      </c>
      <c r="CB29">
        <f t="shared" si="58"/>
        <v>929.55343685152</v>
      </c>
      <c r="CD29" s="7">
        <f t="shared" si="59"/>
        <v>-34.76395838999997</v>
      </c>
      <c r="CE29" s="7">
        <f t="shared" si="59"/>
        <v>-34.637829139999894</v>
      </c>
      <c r="CF29" s="7">
        <f t="shared" si="60"/>
        <v>45.34212474847993</v>
      </c>
      <c r="CG29" s="7">
        <f t="shared" si="60"/>
        <v>45.482233548479826</v>
      </c>
      <c r="CI29" s="7">
        <f t="shared" si="61"/>
        <v>-61.8845399999999</v>
      </c>
      <c r="CJ29" s="7">
        <f t="shared" si="61"/>
        <v>-61.694853999999964</v>
      </c>
      <c r="CK29" s="7">
        <f t="shared" si="62"/>
        <v>-43.65677379247986</v>
      </c>
      <c r="CL29" s="7">
        <f t="shared" si="62"/>
        <v>-38.50248417547995</v>
      </c>
    </row>
    <row r="30" spans="1:83" ht="16.5">
      <c r="A30" s="1">
        <v>39770</v>
      </c>
      <c r="B30" s="13"/>
      <c r="C30" s="13"/>
      <c r="D30" s="13"/>
      <c r="E30" s="13"/>
      <c r="F30" s="13"/>
      <c r="G30" s="13">
        <v>1978.919</v>
      </c>
      <c r="H30" s="13">
        <v>1984.859</v>
      </c>
      <c r="I30" s="13">
        <v>69.171223</v>
      </c>
      <c r="J30" s="13">
        <v>75.18652</v>
      </c>
      <c r="Q30">
        <f t="shared" si="21"/>
        <v>1978.919</v>
      </c>
      <c r="R30">
        <f t="shared" si="21"/>
        <v>1984.859</v>
      </c>
      <c r="S30">
        <f t="shared" si="45"/>
        <v>69.171223</v>
      </c>
      <c r="T30">
        <f t="shared" si="22"/>
        <v>75.18652</v>
      </c>
      <c r="V30" s="7">
        <v>970.81954</v>
      </c>
      <c r="X30" s="2"/>
      <c r="Y30" s="2"/>
      <c r="Z30" s="2">
        <f t="shared" si="25"/>
        <v>1039.990763</v>
      </c>
      <c r="AA30" s="2">
        <f t="shared" si="26"/>
        <v>1046.00606</v>
      </c>
      <c r="AD30">
        <f t="shared" si="40"/>
        <v>13.922588499999993</v>
      </c>
      <c r="AJ30">
        <f t="shared" si="47"/>
        <v>-37.60436600000003</v>
      </c>
      <c r="AK30">
        <f t="shared" si="48"/>
        <v>-37.713209000000006</v>
      </c>
      <c r="AM30">
        <v>945</v>
      </c>
      <c r="AS30">
        <v>-945</v>
      </c>
      <c r="AT30">
        <v>-76.8</v>
      </c>
      <c r="AU30">
        <v>1017.3</v>
      </c>
      <c r="AV30">
        <v>97.4</v>
      </c>
      <c r="AW30">
        <v>919.8</v>
      </c>
      <c r="BA30" s="17">
        <v>-670.434</v>
      </c>
      <c r="BB30" s="17">
        <v>-684.043</v>
      </c>
      <c r="BC30" s="17">
        <v>1023.33</v>
      </c>
      <c r="BD30" s="17">
        <v>1029.49</v>
      </c>
      <c r="BF30">
        <v>275</v>
      </c>
      <c r="BG30" t="s">
        <v>148</v>
      </c>
      <c r="BH30" t="s">
        <v>157</v>
      </c>
      <c r="BI30">
        <v>1800</v>
      </c>
      <c r="BJ30" s="7">
        <f t="shared" si="49"/>
        <v>0</v>
      </c>
      <c r="BK30">
        <v>1800</v>
      </c>
      <c r="BL30" s="7">
        <f t="shared" si="50"/>
        <v>0</v>
      </c>
      <c r="BM30">
        <v>306</v>
      </c>
      <c r="BN30">
        <v>306</v>
      </c>
      <c r="BP30">
        <f t="shared" si="51"/>
        <v>-876.434</v>
      </c>
      <c r="BQ30">
        <f t="shared" si="51"/>
        <v>-890.043</v>
      </c>
      <c r="BS30">
        <f t="shared" si="52"/>
        <v>1023.33</v>
      </c>
      <c r="BT30">
        <f t="shared" si="53"/>
        <v>1029.49</v>
      </c>
      <c r="BV30" s="7">
        <f t="shared" si="54"/>
        <v>916.13731685152</v>
      </c>
      <c r="BW30" s="7">
        <f t="shared" si="54"/>
        <v>922.2726768515201</v>
      </c>
      <c r="BY30">
        <f t="shared" si="55"/>
        <v>-876.434</v>
      </c>
      <c r="BZ30">
        <f t="shared" si="56"/>
        <v>-890.043</v>
      </c>
      <c r="CA30">
        <f t="shared" si="57"/>
        <v>916.13731685152</v>
      </c>
      <c r="CB30">
        <f t="shared" si="58"/>
        <v>922.2726768515201</v>
      </c>
      <c r="CD30" s="7"/>
      <c r="CE30" s="7"/>
    </row>
    <row r="31" spans="1:90" ht="16.5">
      <c r="A31" s="1">
        <v>39808</v>
      </c>
      <c r="B31" s="13">
        <v>129.31908</v>
      </c>
      <c r="C31" s="13">
        <v>114.37874</v>
      </c>
      <c r="D31" s="13"/>
      <c r="E31" s="13"/>
      <c r="F31" s="13"/>
      <c r="G31" s="13">
        <v>1978.8257</v>
      </c>
      <c r="H31" s="13">
        <v>1985.3802</v>
      </c>
      <c r="I31" s="13">
        <v>63.291473</v>
      </c>
      <c r="J31" s="13">
        <v>70.075195</v>
      </c>
      <c r="L31">
        <f t="shared" si="18"/>
        <v>129.31908</v>
      </c>
      <c r="M31">
        <f t="shared" si="18"/>
        <v>114.37874</v>
      </c>
      <c r="Q31">
        <f t="shared" si="21"/>
        <v>1978.8257</v>
      </c>
      <c r="R31">
        <f t="shared" si="21"/>
        <v>1985.3802</v>
      </c>
      <c r="S31">
        <f t="shared" si="45"/>
        <v>63.291473</v>
      </c>
      <c r="T31">
        <f t="shared" si="22"/>
        <v>70.075195</v>
      </c>
      <c r="V31" s="7">
        <v>975.75668</v>
      </c>
      <c r="X31" s="2"/>
      <c r="Y31" s="2"/>
      <c r="Z31" s="2">
        <f t="shared" si="25"/>
        <v>1039.048153</v>
      </c>
      <c r="AA31" s="2">
        <f t="shared" si="26"/>
        <v>1045.8318749999999</v>
      </c>
      <c r="AD31">
        <f t="shared" si="40"/>
        <v>14.480986000000176</v>
      </c>
      <c r="AJ31">
        <f t="shared" si="47"/>
        <v>-38.4507837000001</v>
      </c>
      <c r="AK31">
        <f t="shared" si="48"/>
        <v>-38.42475120000017</v>
      </c>
      <c r="AM31">
        <v>945</v>
      </c>
      <c r="AN31">
        <v>-1036.7</v>
      </c>
      <c r="AO31">
        <v>85.5</v>
      </c>
      <c r="AP31">
        <v>-856.4</v>
      </c>
      <c r="AQ31">
        <v>-15.3</v>
      </c>
      <c r="AS31">
        <v>-945</v>
      </c>
      <c r="AT31">
        <v>-77.8</v>
      </c>
      <c r="AU31">
        <v>1017.7</v>
      </c>
      <c r="AV31">
        <v>97.9</v>
      </c>
      <c r="AW31">
        <v>919.4</v>
      </c>
      <c r="BA31" s="17">
        <v>-668.547</v>
      </c>
      <c r="BB31" s="17">
        <v>-684.115</v>
      </c>
      <c r="BC31" s="17">
        <v>1015.45</v>
      </c>
      <c r="BD31" s="17">
        <v>1022.23</v>
      </c>
      <c r="BF31">
        <v>277</v>
      </c>
      <c r="BG31" t="s">
        <v>133</v>
      </c>
      <c r="BH31" t="s">
        <v>142</v>
      </c>
      <c r="BI31">
        <v>1800</v>
      </c>
      <c r="BJ31" s="7">
        <f t="shared" si="49"/>
        <v>0</v>
      </c>
      <c r="BK31">
        <v>1800</v>
      </c>
      <c r="BL31" s="7">
        <f t="shared" si="50"/>
        <v>0</v>
      </c>
      <c r="BM31">
        <v>306</v>
      </c>
      <c r="BN31">
        <v>306</v>
      </c>
      <c r="BP31">
        <f t="shared" si="51"/>
        <v>-874.547</v>
      </c>
      <c r="BQ31">
        <f t="shared" si="51"/>
        <v>-890.115</v>
      </c>
      <c r="BS31">
        <f t="shared" si="52"/>
        <v>1015.45</v>
      </c>
      <c r="BT31">
        <f t="shared" si="53"/>
        <v>1022.23</v>
      </c>
      <c r="BV31" s="7">
        <f t="shared" si="54"/>
        <v>908.2888368515202</v>
      </c>
      <c r="BW31" s="7">
        <f t="shared" si="54"/>
        <v>915.0417168515202</v>
      </c>
      <c r="BY31">
        <f t="shared" si="55"/>
        <v>-874.547</v>
      </c>
      <c r="BZ31">
        <f t="shared" si="56"/>
        <v>-890.115</v>
      </c>
      <c r="CA31">
        <f t="shared" si="57"/>
        <v>908.2888368515202</v>
      </c>
      <c r="CB31">
        <f t="shared" si="58"/>
        <v>915.0417168515202</v>
      </c>
      <c r="CD31" s="7">
        <f aca="true" t="shared" si="63" ref="CD31:CE36">BY31*(-1)-(L31-1024+7.51)*1.031*(-1)</f>
        <v>-40.12621851999995</v>
      </c>
      <c r="CE31" s="7">
        <f t="shared" si="63"/>
        <v>-39.961709059999976</v>
      </c>
      <c r="CF31" s="7">
        <f aca="true" t="shared" si="64" ref="CF31:CG36">CA31*(-1)-(Q31-1024-15.56)*1.031*(-1)</f>
        <v>60.094099848479914</v>
      </c>
      <c r="CG31" s="7">
        <f t="shared" si="64"/>
        <v>60.09890934847988</v>
      </c>
      <c r="CI31" s="7"/>
      <c r="CJ31" s="7"/>
      <c r="CK31" s="7">
        <f aca="true" t="shared" si="65" ref="CK31:CL36">CF31*(-1)-(Z31-1024-15.56)*1.031*(-1)</f>
        <v>-60.621814105479956</v>
      </c>
      <c r="CL31" s="7">
        <f t="shared" si="65"/>
        <v>-53.63260622348003</v>
      </c>
    </row>
    <row r="32" spans="1:90" ht="16.5">
      <c r="A32" s="1">
        <v>39834</v>
      </c>
      <c r="B32" s="13">
        <v>129.64865</v>
      </c>
      <c r="C32" s="13">
        <v>113.87895</v>
      </c>
      <c r="D32" s="13">
        <v>89.754615</v>
      </c>
      <c r="E32" s="13">
        <v>73.553013</v>
      </c>
      <c r="F32" s="13"/>
      <c r="G32" s="13">
        <v>1978.6804</v>
      </c>
      <c r="H32" s="13">
        <v>1985.1547</v>
      </c>
      <c r="I32" s="13">
        <v>63.378367</v>
      </c>
      <c r="J32" s="13">
        <v>70.171899</v>
      </c>
      <c r="L32">
        <f aca="true" t="shared" si="66" ref="L32:M43">B32</f>
        <v>129.64865</v>
      </c>
      <c r="M32">
        <f t="shared" si="66"/>
        <v>113.87895</v>
      </c>
      <c r="N32">
        <f aca="true" t="shared" si="67" ref="N32:N43">D32+(AM32-945)</f>
        <v>89.754615</v>
      </c>
      <c r="O32">
        <f t="shared" si="20"/>
        <v>73.553013</v>
      </c>
      <c r="Q32">
        <f aca="true" t="shared" si="68" ref="Q32:R43">G32</f>
        <v>1978.6804</v>
      </c>
      <c r="R32">
        <f t="shared" si="68"/>
        <v>1985.1547</v>
      </c>
      <c r="S32">
        <f t="shared" si="45"/>
        <v>63.378367</v>
      </c>
      <c r="T32">
        <f t="shared" si="22"/>
        <v>70.171899</v>
      </c>
      <c r="V32" s="7">
        <v>975.14978</v>
      </c>
      <c r="X32" s="2">
        <f aca="true" t="shared" si="69" ref="X32:X37">N32-V32</f>
        <v>-885.3951649999999</v>
      </c>
      <c r="Y32" s="2">
        <f aca="true" t="shared" si="70" ref="Y32:Y41">O32-V32</f>
        <v>-901.596767</v>
      </c>
      <c r="Z32" s="2">
        <f t="shared" si="25"/>
        <v>1038.528147</v>
      </c>
      <c r="AA32" s="2">
        <f t="shared" si="26"/>
        <v>1045.321679</v>
      </c>
      <c r="AC32">
        <f aca="true" t="shared" si="71" ref="AC32:AC37">1.56-((X32+Y32)/2-(-891.276))</f>
        <v>3.7799659999999995</v>
      </c>
      <c r="AD32">
        <f t="shared" si="40"/>
        <v>14.996087000000134</v>
      </c>
      <c r="AH32">
        <f aca="true" t="shared" si="72" ref="AH32:AI37">(X32-1024*0.0545)-(L32-1024+7.5)*1.031</f>
        <v>-26.859423149999998</v>
      </c>
      <c r="AI32">
        <f t="shared" si="72"/>
        <v>-26.802464450000116</v>
      </c>
      <c r="AJ32">
        <f t="shared" si="47"/>
        <v>-38.82098539999993</v>
      </c>
      <c r="AK32">
        <f t="shared" si="48"/>
        <v>-38.702456700000084</v>
      </c>
      <c r="AM32">
        <v>945</v>
      </c>
      <c r="AN32">
        <v>-1037.6</v>
      </c>
      <c r="AO32">
        <v>85.5</v>
      </c>
      <c r="AP32">
        <v>-856.4</v>
      </c>
      <c r="AQ32">
        <v>-15.6</v>
      </c>
      <c r="AS32">
        <v>-945</v>
      </c>
      <c r="AT32">
        <v>-78.7</v>
      </c>
      <c r="AU32">
        <v>1017.7</v>
      </c>
      <c r="AV32">
        <v>97.9</v>
      </c>
      <c r="AW32">
        <v>919.2</v>
      </c>
      <c r="BA32" s="17">
        <v>-669.323</v>
      </c>
      <c r="BB32" s="17">
        <v>-685.509</v>
      </c>
      <c r="BC32" s="17">
        <v>1019.16</v>
      </c>
      <c r="BD32" s="17">
        <v>1025.75</v>
      </c>
      <c r="BF32">
        <v>277</v>
      </c>
      <c r="BG32" t="s">
        <v>133</v>
      </c>
      <c r="BH32" t="s">
        <v>134</v>
      </c>
      <c r="BI32">
        <v>1800</v>
      </c>
      <c r="BJ32" s="7">
        <f t="shared" si="49"/>
        <v>0</v>
      </c>
      <c r="BK32">
        <v>1800</v>
      </c>
      <c r="BL32" s="7">
        <f t="shared" si="50"/>
        <v>0</v>
      </c>
      <c r="BM32">
        <v>306</v>
      </c>
      <c r="BN32">
        <v>306</v>
      </c>
      <c r="BP32">
        <f t="shared" si="51"/>
        <v>-875.323</v>
      </c>
      <c r="BQ32">
        <f t="shared" si="51"/>
        <v>-891.509</v>
      </c>
      <c r="BS32">
        <f t="shared" si="52"/>
        <v>1019.16</v>
      </c>
      <c r="BT32">
        <f t="shared" si="53"/>
        <v>1025.75</v>
      </c>
      <c r="BV32" s="7">
        <f t="shared" si="54"/>
        <v>911.9839968515199</v>
      </c>
      <c r="BW32" s="7">
        <f t="shared" si="54"/>
        <v>918.5476368515201</v>
      </c>
      <c r="BY32">
        <f t="shared" si="55"/>
        <v>-875.323</v>
      </c>
      <c r="BZ32">
        <f t="shared" si="56"/>
        <v>-891.509</v>
      </c>
      <c r="CA32">
        <f t="shared" si="57"/>
        <v>911.9839968515199</v>
      </c>
      <c r="CB32">
        <f t="shared" si="58"/>
        <v>918.5476368515201</v>
      </c>
      <c r="CD32" s="7">
        <f t="shared" si="63"/>
        <v>-39.01043185000003</v>
      </c>
      <c r="CE32" s="7">
        <f t="shared" si="63"/>
        <v>-39.08299254999986</v>
      </c>
      <c r="CF32" s="7">
        <f t="shared" si="64"/>
        <v>56.24913554848001</v>
      </c>
      <c r="CG32" s="7">
        <f t="shared" si="64"/>
        <v>56.36049884847989</v>
      </c>
      <c r="CI32" s="7">
        <f aca="true" t="shared" si="73" ref="CI32:CJ36">BY32*(-1)-(X32-1024*0.0545)*(-1)</f>
        <v>-65.88016499999992</v>
      </c>
      <c r="CJ32" s="7">
        <f t="shared" si="73"/>
        <v>-65.89576699999998</v>
      </c>
      <c r="CK32" s="7">
        <f t="shared" si="65"/>
        <v>-57.31297599148002</v>
      </c>
      <c r="CL32" s="7">
        <f t="shared" si="65"/>
        <v>-50.420207799479996</v>
      </c>
    </row>
    <row r="33" spans="1:90" ht="16.5">
      <c r="A33" s="1">
        <v>39860</v>
      </c>
      <c r="B33" s="13">
        <v>128.74062</v>
      </c>
      <c r="C33" s="13">
        <v>112.83321</v>
      </c>
      <c r="D33" s="13">
        <v>84.707492</v>
      </c>
      <c r="E33" s="13">
        <v>68.414987</v>
      </c>
      <c r="F33" s="13"/>
      <c r="G33" s="13">
        <v>1978.2746</v>
      </c>
      <c r="H33" s="13">
        <v>1984.2614</v>
      </c>
      <c r="I33" s="13">
        <v>67.943881</v>
      </c>
      <c r="J33" s="13">
        <v>74.00942</v>
      </c>
      <c r="L33">
        <f t="shared" si="66"/>
        <v>128.74062</v>
      </c>
      <c r="M33">
        <f t="shared" si="66"/>
        <v>112.83321</v>
      </c>
      <c r="N33">
        <f t="shared" si="67"/>
        <v>84.707492</v>
      </c>
      <c r="O33">
        <f t="shared" si="20"/>
        <v>68.414987</v>
      </c>
      <c r="Q33">
        <f t="shared" si="68"/>
        <v>1978.2746</v>
      </c>
      <c r="R33">
        <f t="shared" si="68"/>
        <v>1984.2614</v>
      </c>
      <c r="S33">
        <f t="shared" si="45"/>
        <v>67.943881</v>
      </c>
      <c r="T33">
        <f t="shared" si="22"/>
        <v>74.00942</v>
      </c>
      <c r="V33" s="7">
        <v>971.36427</v>
      </c>
      <c r="X33" s="2">
        <f t="shared" si="69"/>
        <v>-886.656778</v>
      </c>
      <c r="Y33" s="2">
        <f t="shared" si="70"/>
        <v>-902.949283</v>
      </c>
      <c r="Z33" s="2">
        <f t="shared" si="25"/>
        <v>1039.308151</v>
      </c>
      <c r="AA33" s="2">
        <f t="shared" si="26"/>
        <v>1045.3736900000001</v>
      </c>
      <c r="AC33">
        <f t="shared" si="71"/>
        <v>5.087030500000024</v>
      </c>
      <c r="AD33">
        <f t="shared" si="40"/>
        <v>14.580079499999929</v>
      </c>
      <c r="AH33">
        <f t="shared" si="72"/>
        <v>-27.18485722000014</v>
      </c>
      <c r="AI33">
        <f t="shared" si="72"/>
        <v>-27.07682251000017</v>
      </c>
      <c r="AJ33">
        <f t="shared" si="47"/>
        <v>-37.62260159999994</v>
      </c>
      <c r="AK33">
        <f t="shared" si="48"/>
        <v>-37.7294533999999</v>
      </c>
      <c r="AM33">
        <v>945</v>
      </c>
      <c r="AN33">
        <v>-1037.8</v>
      </c>
      <c r="AO33">
        <v>85.3</v>
      </c>
      <c r="AP33">
        <v>-856.8</v>
      </c>
      <c r="AQ33">
        <v>-15.4</v>
      </c>
      <c r="AS33">
        <v>-945</v>
      </c>
      <c r="AT33">
        <v>-78.7</v>
      </c>
      <c r="AU33">
        <v>1017.3</v>
      </c>
      <c r="AV33">
        <v>97.8</v>
      </c>
      <c r="AW33">
        <v>919.6</v>
      </c>
      <c r="BA33" s="17">
        <v>-622.249</v>
      </c>
      <c r="BB33" s="17">
        <v>-637.872</v>
      </c>
      <c r="BC33" s="17">
        <v>1025.32</v>
      </c>
      <c r="BD33" s="17">
        <v>1031.35</v>
      </c>
      <c r="BF33">
        <v>323</v>
      </c>
      <c r="BG33" t="s">
        <v>42</v>
      </c>
      <c r="BH33" t="s">
        <v>157</v>
      </c>
      <c r="BI33">
        <v>1800</v>
      </c>
      <c r="BJ33" s="7">
        <f t="shared" si="49"/>
        <v>0</v>
      </c>
      <c r="BK33">
        <v>1800</v>
      </c>
      <c r="BL33" s="7">
        <f t="shared" si="50"/>
        <v>0</v>
      </c>
      <c r="BM33">
        <v>256</v>
      </c>
      <c r="BN33">
        <v>256</v>
      </c>
      <c r="BP33">
        <f t="shared" si="51"/>
        <v>-878.249</v>
      </c>
      <c r="BQ33">
        <f t="shared" si="51"/>
        <v>-893.872</v>
      </c>
      <c r="BS33">
        <f t="shared" si="52"/>
        <v>1025.32</v>
      </c>
      <c r="BT33">
        <f t="shared" si="53"/>
        <v>1031.35</v>
      </c>
      <c r="BV33" s="7">
        <f t="shared" si="54"/>
        <v>918.11935685152</v>
      </c>
      <c r="BW33" s="7">
        <f t="shared" si="54"/>
        <v>924.1252368515201</v>
      </c>
      <c r="BY33">
        <f t="shared" si="55"/>
        <v>-878.249</v>
      </c>
      <c r="BZ33">
        <f t="shared" si="56"/>
        <v>-893.872</v>
      </c>
      <c r="CA33">
        <f t="shared" si="57"/>
        <v>918.11935685152</v>
      </c>
      <c r="CB33">
        <f t="shared" si="58"/>
        <v>924.1252368515201</v>
      </c>
      <c r="CD33" s="7">
        <f t="shared" si="63"/>
        <v>-37.020610779999856</v>
      </c>
      <c r="CE33" s="7">
        <f t="shared" si="63"/>
        <v>-37.79815049000001</v>
      </c>
      <c r="CF33" s="7">
        <f t="shared" si="64"/>
        <v>49.69539574847988</v>
      </c>
      <c r="CG33" s="7">
        <f t="shared" si="64"/>
        <v>49.861906548479965</v>
      </c>
      <c r="CI33" s="7">
        <f t="shared" si="73"/>
        <v>-64.215778</v>
      </c>
      <c r="CJ33" s="7">
        <f t="shared" si="73"/>
        <v>-64.88528300000007</v>
      </c>
      <c r="CK33" s="7">
        <f t="shared" si="65"/>
        <v>-49.95505206747993</v>
      </c>
      <c r="CL33" s="7">
        <f t="shared" si="65"/>
        <v>-43.86799215847984</v>
      </c>
    </row>
    <row r="34" spans="1:90" ht="16.5">
      <c r="A34" s="1">
        <v>39888</v>
      </c>
      <c r="B34" s="13">
        <v>126.36836</v>
      </c>
      <c r="C34" s="13">
        <v>111.89077</v>
      </c>
      <c r="D34" s="13">
        <v>75.74354</v>
      </c>
      <c r="E34" s="13">
        <v>60.727435</v>
      </c>
      <c r="F34" s="13"/>
      <c r="G34" s="13">
        <v>1979.3166</v>
      </c>
      <c r="H34" s="13">
        <v>1984.4313</v>
      </c>
      <c r="I34" s="13">
        <v>75.565533</v>
      </c>
      <c r="J34" s="13">
        <v>80.740371</v>
      </c>
      <c r="L34">
        <f t="shared" si="66"/>
        <v>126.36836</v>
      </c>
      <c r="M34">
        <f t="shared" si="66"/>
        <v>111.89077</v>
      </c>
      <c r="N34">
        <f t="shared" si="67"/>
        <v>75.74354</v>
      </c>
      <c r="O34">
        <f t="shared" si="20"/>
        <v>60.727435</v>
      </c>
      <c r="Q34">
        <f t="shared" si="68"/>
        <v>1979.3166</v>
      </c>
      <c r="R34">
        <f t="shared" si="68"/>
        <v>1984.4313</v>
      </c>
      <c r="S34">
        <f t="shared" si="45"/>
        <v>75.565533</v>
      </c>
      <c r="T34">
        <f t="shared" si="22"/>
        <v>80.740371</v>
      </c>
      <c r="V34" s="7">
        <v>964.76983</v>
      </c>
      <c r="X34" s="2">
        <f t="shared" si="69"/>
        <v>-889.02629</v>
      </c>
      <c r="Y34" s="2">
        <f t="shared" si="70"/>
        <v>-904.0423949999999</v>
      </c>
      <c r="Z34" s="2">
        <f t="shared" si="25"/>
        <v>1040.335363</v>
      </c>
      <c r="AA34" s="2">
        <f t="shared" si="26"/>
        <v>1045.510201</v>
      </c>
      <c r="AC34">
        <f t="shared" si="71"/>
        <v>6.818342500000027</v>
      </c>
      <c r="AD34">
        <f t="shared" si="40"/>
        <v>13.99821799999987</v>
      </c>
      <c r="AH34">
        <f t="shared" si="72"/>
        <v>-27.108569160000002</v>
      </c>
      <c r="AI34">
        <f t="shared" si="72"/>
        <v>-27.198278869999967</v>
      </c>
      <c r="AJ34">
        <f t="shared" si="47"/>
        <v>-37.66969160000019</v>
      </c>
      <c r="AK34">
        <f t="shared" si="48"/>
        <v>-37.76810929999988</v>
      </c>
      <c r="AM34">
        <v>945</v>
      </c>
      <c r="AN34">
        <v>-1037</v>
      </c>
      <c r="AO34">
        <v>85</v>
      </c>
      <c r="AP34">
        <v>-856.8</v>
      </c>
      <c r="AQ34">
        <v>-14.9</v>
      </c>
      <c r="AS34">
        <v>-945</v>
      </c>
      <c r="AT34">
        <v>-78.5</v>
      </c>
      <c r="AU34">
        <v>1016.9</v>
      </c>
      <c r="AV34">
        <v>97.4</v>
      </c>
      <c r="AW34">
        <v>920.2</v>
      </c>
      <c r="BA34" s="17">
        <v>-677.056</v>
      </c>
      <c r="BB34" s="17">
        <v>-692.015</v>
      </c>
      <c r="BC34" s="17">
        <v>1032.28</v>
      </c>
      <c r="BD34" s="17">
        <v>1037.46</v>
      </c>
      <c r="BF34">
        <v>265</v>
      </c>
      <c r="BG34" t="s">
        <v>147</v>
      </c>
      <c r="BH34" t="s">
        <v>157</v>
      </c>
      <c r="BI34">
        <v>1800</v>
      </c>
      <c r="BJ34" s="7">
        <f t="shared" si="49"/>
        <v>0</v>
      </c>
      <c r="BK34">
        <v>1800</v>
      </c>
      <c r="BL34" s="7">
        <f t="shared" si="50"/>
        <v>0</v>
      </c>
      <c r="BM34">
        <v>306</v>
      </c>
      <c r="BN34">
        <v>306</v>
      </c>
      <c r="BP34">
        <f t="shared" si="51"/>
        <v>-883.056</v>
      </c>
      <c r="BQ34">
        <f t="shared" si="51"/>
        <v>-898.015</v>
      </c>
      <c r="BS34">
        <f t="shared" si="52"/>
        <v>1032.28</v>
      </c>
      <c r="BT34">
        <f t="shared" si="53"/>
        <v>1037.46</v>
      </c>
      <c r="BV34" s="7">
        <f t="shared" si="54"/>
        <v>925.0515168515201</v>
      </c>
      <c r="BW34" s="7">
        <f t="shared" si="54"/>
        <v>930.2107968515202</v>
      </c>
      <c r="BY34">
        <f t="shared" si="55"/>
        <v>-883.056</v>
      </c>
      <c r="BZ34">
        <f t="shared" si="56"/>
        <v>-898.015</v>
      </c>
      <c r="CA34">
        <f t="shared" si="57"/>
        <v>925.0515168515201</v>
      </c>
      <c r="CB34">
        <f t="shared" si="58"/>
        <v>930.2107968515202</v>
      </c>
      <c r="CD34" s="7">
        <f t="shared" si="63"/>
        <v>-34.659410839999964</v>
      </c>
      <c r="CE34" s="7">
        <f t="shared" si="63"/>
        <v>-34.62680612999998</v>
      </c>
      <c r="CF34" s="7">
        <f t="shared" si="64"/>
        <v>43.83753774848003</v>
      </c>
      <c r="CG34" s="7">
        <f t="shared" si="64"/>
        <v>43.95151344847977</v>
      </c>
      <c r="CI34" s="7">
        <f t="shared" si="73"/>
        <v>-61.77828999999997</v>
      </c>
      <c r="CJ34" s="7">
        <f t="shared" si="73"/>
        <v>-61.83539499999995</v>
      </c>
      <c r="CK34" s="7">
        <f t="shared" si="65"/>
        <v>-43.03813849548012</v>
      </c>
      <c r="CL34" s="7">
        <f t="shared" si="65"/>
        <v>-37.81685621747972</v>
      </c>
    </row>
    <row r="35" spans="1:90" ht="16.5">
      <c r="A35" s="1">
        <v>39911</v>
      </c>
      <c r="B35" s="13">
        <v>124.82592</v>
      </c>
      <c r="C35" s="13">
        <v>111.05401</v>
      </c>
      <c r="D35" s="13">
        <v>66.452388</v>
      </c>
      <c r="E35" s="13">
        <v>52.239892</v>
      </c>
      <c r="F35" s="13"/>
      <c r="G35" s="13">
        <v>1979.2804</v>
      </c>
      <c r="H35" s="13">
        <v>1983.5803</v>
      </c>
      <c r="I35" s="13">
        <v>82.312426</v>
      </c>
      <c r="J35" s="13">
        <v>86.840643</v>
      </c>
      <c r="L35">
        <f t="shared" si="66"/>
        <v>124.82592</v>
      </c>
      <c r="M35">
        <f t="shared" si="66"/>
        <v>111.05401</v>
      </c>
      <c r="N35">
        <f t="shared" si="67"/>
        <v>66.452388</v>
      </c>
      <c r="O35">
        <f t="shared" si="20"/>
        <v>52.239892</v>
      </c>
      <c r="Q35">
        <f t="shared" si="68"/>
        <v>1979.2804</v>
      </c>
      <c r="R35">
        <f t="shared" si="68"/>
        <v>1983.5803</v>
      </c>
      <c r="S35">
        <f t="shared" si="45"/>
        <v>82.312426</v>
      </c>
      <c r="T35">
        <f t="shared" si="22"/>
        <v>86.840643</v>
      </c>
      <c r="V35" s="7">
        <v>958.44493</v>
      </c>
      <c r="X35" s="2">
        <f t="shared" si="69"/>
        <v>-891.992542</v>
      </c>
      <c r="Y35" s="2">
        <f t="shared" si="70"/>
        <v>-906.2050380000001</v>
      </c>
      <c r="Z35" s="2">
        <f t="shared" si="25"/>
        <v>1040.757356</v>
      </c>
      <c r="AA35" s="2">
        <f t="shared" si="26"/>
        <v>1045.285573</v>
      </c>
      <c r="AC35">
        <f t="shared" si="71"/>
        <v>9.382790000000055</v>
      </c>
      <c r="AD35">
        <f t="shared" si="40"/>
        <v>13.899535499999875</v>
      </c>
      <c r="AH35">
        <f t="shared" si="72"/>
        <v>-28.484565520000046</v>
      </c>
      <c r="AI35">
        <f t="shared" si="72"/>
        <v>-28.498222310000187</v>
      </c>
      <c r="AJ35">
        <f t="shared" si="47"/>
        <v>-37.21037639999997</v>
      </c>
      <c r="AK35">
        <f t="shared" si="48"/>
        <v>-37.11535629999992</v>
      </c>
      <c r="AM35">
        <v>945</v>
      </c>
      <c r="AN35">
        <v>-1036.4</v>
      </c>
      <c r="AO35">
        <v>84.2</v>
      </c>
      <c r="AP35">
        <v>-857.2</v>
      </c>
      <c r="AQ35">
        <v>-14.8</v>
      </c>
      <c r="AS35">
        <v>-945</v>
      </c>
      <c r="AT35">
        <v>-77.4</v>
      </c>
      <c r="AU35">
        <v>1016.4</v>
      </c>
      <c r="AV35">
        <v>97.3</v>
      </c>
      <c r="AW35">
        <v>920.4</v>
      </c>
      <c r="BA35" s="17">
        <v>-679.413</v>
      </c>
      <c r="BB35" s="17">
        <v>-693.238</v>
      </c>
      <c r="BC35" s="17">
        <v>1030.13</v>
      </c>
      <c r="BD35" s="17">
        <v>1034.48</v>
      </c>
      <c r="BF35">
        <v>272</v>
      </c>
      <c r="BG35" t="s">
        <v>135</v>
      </c>
      <c r="BH35" t="s">
        <v>57</v>
      </c>
      <c r="BI35">
        <v>1800</v>
      </c>
      <c r="BJ35" s="7">
        <f t="shared" si="49"/>
        <v>0</v>
      </c>
      <c r="BK35">
        <v>1800</v>
      </c>
      <c r="BL35" s="7">
        <f t="shared" si="50"/>
        <v>0</v>
      </c>
      <c r="BM35">
        <v>306</v>
      </c>
      <c r="BN35">
        <v>306</v>
      </c>
      <c r="BP35">
        <f t="shared" si="51"/>
        <v>-885.413</v>
      </c>
      <c r="BQ35">
        <f t="shared" si="51"/>
        <v>-899.238</v>
      </c>
      <c r="BS35">
        <f t="shared" si="52"/>
        <v>1030.13</v>
      </c>
      <c r="BT35">
        <f t="shared" si="53"/>
        <v>1034.48</v>
      </c>
      <c r="BV35" s="7">
        <f t="shared" si="54"/>
        <v>922.9101168515202</v>
      </c>
      <c r="BW35" s="7">
        <f t="shared" si="54"/>
        <v>927.2427168515201</v>
      </c>
      <c r="BY35">
        <f t="shared" si="55"/>
        <v>-885.413</v>
      </c>
      <c r="BZ35">
        <f t="shared" si="56"/>
        <v>-899.238</v>
      </c>
      <c r="CA35">
        <f t="shared" si="57"/>
        <v>922.9101168515202</v>
      </c>
      <c r="CB35">
        <f t="shared" si="58"/>
        <v>927.2427168515201</v>
      </c>
      <c r="CD35" s="7">
        <f t="shared" si="63"/>
        <v>-33.89266647999989</v>
      </c>
      <c r="CE35" s="7">
        <f t="shared" si="63"/>
        <v>-34.2665056899998</v>
      </c>
      <c r="CF35" s="7">
        <f t="shared" si="64"/>
        <v>45.94161554847983</v>
      </c>
      <c r="CG35" s="7">
        <f t="shared" si="64"/>
        <v>46.04221244847997</v>
      </c>
      <c r="CI35" s="7">
        <f t="shared" si="73"/>
        <v>-62.38754199999994</v>
      </c>
      <c r="CJ35" s="7">
        <f t="shared" si="73"/>
        <v>-62.775037999999995</v>
      </c>
      <c r="CK35" s="7">
        <f t="shared" si="65"/>
        <v>-44.70714151247976</v>
      </c>
      <c r="CL35" s="7">
        <f t="shared" si="65"/>
        <v>-40.13914668547986</v>
      </c>
    </row>
    <row r="36" spans="1:90" ht="16.5">
      <c r="A36" s="1">
        <v>39932</v>
      </c>
      <c r="B36" s="20">
        <v>122.32992</v>
      </c>
      <c r="C36" s="20">
        <v>109.10586</v>
      </c>
      <c r="D36" s="13">
        <v>60.127097</v>
      </c>
      <c r="E36" s="13">
        <v>46.450317</v>
      </c>
      <c r="F36" s="13"/>
      <c r="G36" s="13">
        <v>1979.6618</v>
      </c>
      <c r="H36" s="13">
        <v>1983.4098</v>
      </c>
      <c r="I36" s="13">
        <v>88.007776</v>
      </c>
      <c r="J36" s="13">
        <v>91.770221</v>
      </c>
      <c r="L36">
        <f t="shared" si="66"/>
        <v>122.32992</v>
      </c>
      <c r="M36">
        <f t="shared" si="66"/>
        <v>109.10586</v>
      </c>
      <c r="N36">
        <f t="shared" si="67"/>
        <v>60.127097</v>
      </c>
      <c r="O36">
        <f t="shared" si="20"/>
        <v>46.450317</v>
      </c>
      <c r="Q36">
        <f t="shared" si="68"/>
        <v>1979.6618</v>
      </c>
      <c r="R36">
        <f t="shared" si="68"/>
        <v>1983.4098</v>
      </c>
      <c r="S36">
        <f t="shared" si="45"/>
        <v>88.007776</v>
      </c>
      <c r="T36">
        <f t="shared" si="22"/>
        <v>91.770221</v>
      </c>
      <c r="V36" s="7">
        <v>952.93853</v>
      </c>
      <c r="X36" s="2">
        <f t="shared" si="69"/>
        <v>-892.811433</v>
      </c>
      <c r="Y36" s="2">
        <f t="shared" si="70"/>
        <v>-906.488213</v>
      </c>
      <c r="Z36" s="2">
        <f t="shared" si="25"/>
        <v>1040.946306</v>
      </c>
      <c r="AA36" s="2">
        <f t="shared" si="26"/>
        <v>1044.7087510000001</v>
      </c>
      <c r="AC36">
        <f t="shared" si="71"/>
        <v>9.933823000000016</v>
      </c>
      <c r="AD36">
        <f t="shared" si="40"/>
        <v>14.093471499999996</v>
      </c>
      <c r="AH36">
        <f t="shared" si="72"/>
        <v>-26.73008052</v>
      </c>
      <c r="AI36">
        <f t="shared" si="72"/>
        <v>-26.772854660000007</v>
      </c>
      <c r="AJ36">
        <f t="shared" si="47"/>
        <v>-37.41464980000001</v>
      </c>
      <c r="AK36">
        <f t="shared" si="48"/>
        <v>-37.51639279999972</v>
      </c>
      <c r="AM36">
        <v>945</v>
      </c>
      <c r="AN36">
        <v>-1036.4</v>
      </c>
      <c r="AO36">
        <v>84.4</v>
      </c>
      <c r="AP36">
        <v>-857.3</v>
      </c>
      <c r="AQ36">
        <v>-14.2</v>
      </c>
      <c r="AS36">
        <v>-945</v>
      </c>
      <c r="AT36">
        <v>-77.5</v>
      </c>
      <c r="AU36">
        <v>1016.1</v>
      </c>
      <c r="AV36">
        <v>97.2</v>
      </c>
      <c r="AW36">
        <v>920.6</v>
      </c>
      <c r="BA36" s="17">
        <v>-683.454</v>
      </c>
      <c r="BB36" s="17">
        <v>-697.199</v>
      </c>
      <c r="BC36" s="17">
        <v>1028.93</v>
      </c>
      <c r="BD36" s="17">
        <v>1032.7</v>
      </c>
      <c r="BF36">
        <v>271</v>
      </c>
      <c r="BG36" t="s">
        <v>136</v>
      </c>
      <c r="BH36" t="s">
        <v>152</v>
      </c>
      <c r="BI36">
        <v>1800</v>
      </c>
      <c r="BJ36" s="7">
        <f t="shared" si="49"/>
        <v>0</v>
      </c>
      <c r="BK36">
        <v>1800</v>
      </c>
      <c r="BL36" s="7">
        <f t="shared" si="50"/>
        <v>0</v>
      </c>
      <c r="BM36">
        <v>306</v>
      </c>
      <c r="BN36">
        <v>306</v>
      </c>
      <c r="BP36">
        <f t="shared" si="51"/>
        <v>-889.454</v>
      </c>
      <c r="BQ36">
        <f t="shared" si="51"/>
        <v>-903.199</v>
      </c>
      <c r="BS36">
        <f t="shared" si="52"/>
        <v>1028.93</v>
      </c>
      <c r="BT36">
        <f t="shared" si="53"/>
        <v>1032.7</v>
      </c>
      <c r="BV36" s="7">
        <f t="shared" si="54"/>
        <v>921.7149168515202</v>
      </c>
      <c r="BW36" s="7">
        <f t="shared" si="54"/>
        <v>925.4698368515202</v>
      </c>
      <c r="BY36">
        <f t="shared" si="55"/>
        <v>-889.454</v>
      </c>
      <c r="BZ36">
        <f t="shared" si="56"/>
        <v>-903.199</v>
      </c>
      <c r="CA36">
        <f t="shared" si="57"/>
        <v>921.7149168515202</v>
      </c>
      <c r="CB36">
        <f t="shared" si="58"/>
        <v>925.4698368515202</v>
      </c>
      <c r="CD36" s="7">
        <f t="shared" si="63"/>
        <v>-32.42504248</v>
      </c>
      <c r="CE36" s="7">
        <f t="shared" si="63"/>
        <v>-32.31404834</v>
      </c>
      <c r="CF36" s="7">
        <f t="shared" si="64"/>
        <v>47.53003894847984</v>
      </c>
      <c r="CG36" s="7">
        <f t="shared" si="64"/>
        <v>47.63930694847966</v>
      </c>
      <c r="CI36" s="7">
        <f t="shared" si="73"/>
        <v>-59.16543300000001</v>
      </c>
      <c r="CJ36" s="7">
        <f t="shared" si="73"/>
        <v>-59.09721300000001</v>
      </c>
      <c r="CK36" s="7">
        <f t="shared" si="65"/>
        <v>-46.10075746247979</v>
      </c>
      <c r="CL36" s="7">
        <f t="shared" si="65"/>
        <v>-42.330944667479535</v>
      </c>
    </row>
    <row r="37" spans="1:75" ht="16.5">
      <c r="A37" s="1">
        <v>39939</v>
      </c>
      <c r="B37" s="13">
        <v>123.09326</v>
      </c>
      <c r="C37" s="13">
        <v>110.0888</v>
      </c>
      <c r="D37" s="13">
        <v>57.384771</v>
      </c>
      <c r="E37" s="13">
        <v>43.999552</v>
      </c>
      <c r="F37" s="13"/>
      <c r="G37" s="13">
        <v>1979.4805</v>
      </c>
      <c r="H37" s="13">
        <v>1983.1624</v>
      </c>
      <c r="I37" s="13">
        <v>90.431247</v>
      </c>
      <c r="J37" s="13">
        <v>94.040725</v>
      </c>
      <c r="L37">
        <f t="shared" si="66"/>
        <v>123.09326</v>
      </c>
      <c r="M37">
        <f t="shared" si="66"/>
        <v>110.0888</v>
      </c>
      <c r="N37">
        <f t="shared" si="67"/>
        <v>57.384771</v>
      </c>
      <c r="O37">
        <f t="shared" si="20"/>
        <v>43.999552</v>
      </c>
      <c r="Q37">
        <f t="shared" si="68"/>
        <v>1979.4805</v>
      </c>
      <c r="R37">
        <f t="shared" si="68"/>
        <v>1983.1624</v>
      </c>
      <c r="S37">
        <f t="shared" si="45"/>
        <v>90.431247</v>
      </c>
      <c r="T37">
        <f t="shared" si="22"/>
        <v>94.040725</v>
      </c>
      <c r="V37" s="7">
        <v>951.27924</v>
      </c>
      <c r="X37" s="2">
        <f t="shared" si="69"/>
        <v>-893.894469</v>
      </c>
      <c r="Y37" s="2">
        <f t="shared" si="70"/>
        <v>-907.279688</v>
      </c>
      <c r="Z37" s="2">
        <f t="shared" si="25"/>
        <v>1041.710487</v>
      </c>
      <c r="AA37" s="2">
        <f t="shared" si="26"/>
        <v>1045.319965</v>
      </c>
      <c r="AC37">
        <f t="shared" si="71"/>
        <v>10.871078500000008</v>
      </c>
      <c r="AD37">
        <f t="shared" si="40"/>
        <v>13.405773999999983</v>
      </c>
      <c r="AH37">
        <f t="shared" si="72"/>
        <v>-28.600120059999995</v>
      </c>
      <c r="AI37">
        <f t="shared" si="72"/>
        <v>-28.577740800000015</v>
      </c>
      <c r="AJ37">
        <f t="shared" si="47"/>
        <v>-36.463548499999774</v>
      </c>
      <c r="AK37">
        <f t="shared" si="48"/>
        <v>-36.65010940000002</v>
      </c>
      <c r="AM37">
        <v>945</v>
      </c>
      <c r="AN37">
        <v>-1036.3</v>
      </c>
      <c r="AO37">
        <v>83.9</v>
      </c>
      <c r="AP37">
        <v>-857.6</v>
      </c>
      <c r="AQ37">
        <v>-14.3</v>
      </c>
      <c r="AS37">
        <v>-945</v>
      </c>
      <c r="AT37">
        <v>-77.2</v>
      </c>
      <c r="AU37">
        <v>1016</v>
      </c>
      <c r="AV37">
        <v>96.9</v>
      </c>
      <c r="AW37">
        <v>920.8</v>
      </c>
      <c r="BV37" s="7"/>
      <c r="BW37" s="7"/>
    </row>
    <row r="38" spans="1:75" ht="16.5">
      <c r="A38" s="1"/>
      <c r="B38" s="13"/>
      <c r="C38" s="13"/>
      <c r="D38" s="13"/>
      <c r="E38" s="13"/>
      <c r="F38" s="13"/>
      <c r="G38" s="13"/>
      <c r="H38" s="13"/>
      <c r="I38" s="13"/>
      <c r="J38" s="13"/>
      <c r="V38" s="7"/>
      <c r="X38" s="2"/>
      <c r="Y38" s="2"/>
      <c r="Z38" s="2"/>
      <c r="AA38" s="2"/>
      <c r="BV38" s="7"/>
      <c r="BW38" s="7"/>
    </row>
    <row r="39" spans="1:49" ht="16.5">
      <c r="A39" s="1">
        <v>40032</v>
      </c>
      <c r="B39" s="13">
        <v>123.03847</v>
      </c>
      <c r="C39" s="13">
        <v>107.54188</v>
      </c>
      <c r="D39" s="13">
        <v>53.75714</v>
      </c>
      <c r="E39" s="13">
        <v>37.831768</v>
      </c>
      <c r="F39" s="13"/>
      <c r="G39" s="13">
        <v>1980.4036</v>
      </c>
      <c r="H39" s="13">
        <v>1984.2113</v>
      </c>
      <c r="I39" s="13">
        <v>95.460239</v>
      </c>
      <c r="J39" s="13">
        <v>99.485279</v>
      </c>
      <c r="L39">
        <f t="shared" si="66"/>
        <v>123.03847</v>
      </c>
      <c r="M39">
        <f t="shared" si="66"/>
        <v>107.54188</v>
      </c>
      <c r="N39">
        <f t="shared" si="67"/>
        <v>53.75714</v>
      </c>
      <c r="O39">
        <f aca="true" t="shared" si="74" ref="O39:O44">E39+(AM39-945)</f>
        <v>37.831768</v>
      </c>
      <c r="Q39">
        <f t="shared" si="68"/>
        <v>1980.4036</v>
      </c>
      <c r="R39">
        <f t="shared" si="68"/>
        <v>1984.2113</v>
      </c>
      <c r="S39">
        <f t="shared" si="45"/>
        <v>95.460239</v>
      </c>
      <c r="T39">
        <f aca="true" t="shared" si="75" ref="T39:T58">J39+(AS39+945)</f>
        <v>99.485279</v>
      </c>
      <c r="V39" s="7">
        <v>946.2306</v>
      </c>
      <c r="X39" s="2">
        <f aca="true" t="shared" si="76" ref="X39:X44">N39-V39</f>
        <v>-892.4734599999999</v>
      </c>
      <c r="Y39" s="2">
        <f t="shared" si="70"/>
        <v>-908.398832</v>
      </c>
      <c r="Z39" s="2">
        <f t="shared" si="25"/>
        <v>1041.6908389999999</v>
      </c>
      <c r="AA39" s="2">
        <f t="shared" si="26"/>
        <v>1045.715879</v>
      </c>
      <c r="AC39">
        <f aca="true" t="shared" si="77" ref="AC39:AC44">1.56-((X39+Y39)/2-(-891.276))</f>
        <v>10.720146000000055</v>
      </c>
      <c r="AD39">
        <f t="shared" si="40"/>
        <v>13.217640999999876</v>
      </c>
      <c r="AH39">
        <f aca="true" t="shared" si="78" ref="AH39:AI43">(X39-1024*0.0545)-(L39-1024+7.5)*1.031</f>
        <v>-27.122622569999976</v>
      </c>
      <c r="AI39">
        <f t="shared" si="78"/>
        <v>-27.071010279999996</v>
      </c>
      <c r="AJ39">
        <f aca="true" t="shared" si="79" ref="AJ39:AJ53">(Z39-2048*0.0545)-(Q39-1024-15.56)*1.031+2.5</f>
        <v>-37.43491260000019</v>
      </c>
      <c r="AK39">
        <f aca="true" t="shared" si="80" ref="AK39:AK48">(AA39-2048*0.0545)-(R39-1024-15.56)*1.031+2.5</f>
        <v>-37.33561129999987</v>
      </c>
      <c r="AM39">
        <v>945</v>
      </c>
      <c r="AN39">
        <v>-1036.7</v>
      </c>
      <c r="AO39">
        <v>84.7</v>
      </c>
      <c r="AP39">
        <v>-855.8</v>
      </c>
      <c r="AQ39">
        <v>-14.1</v>
      </c>
      <c r="AS39">
        <v>-945</v>
      </c>
      <c r="AT39">
        <v>-77.8</v>
      </c>
      <c r="AU39">
        <v>1016.4</v>
      </c>
      <c r="AV39">
        <v>98.8</v>
      </c>
      <c r="AW39">
        <v>920.9</v>
      </c>
    </row>
    <row r="40" spans="1:49" ht="16.5">
      <c r="A40" s="1">
        <v>40034</v>
      </c>
      <c r="B40" s="13">
        <v>122.8134</v>
      </c>
      <c r="C40" s="13">
        <v>107.63322</v>
      </c>
      <c r="D40" s="13">
        <v>53.610458</v>
      </c>
      <c r="E40" s="13">
        <v>37.952197</v>
      </c>
      <c r="F40" s="13"/>
      <c r="G40" s="13">
        <v>1979.9084</v>
      </c>
      <c r="H40" s="13">
        <v>1983.8984</v>
      </c>
      <c r="I40" s="13">
        <v>94.865638</v>
      </c>
      <c r="J40" s="13">
        <v>98.896483</v>
      </c>
      <c r="L40">
        <f t="shared" si="66"/>
        <v>122.8134</v>
      </c>
      <c r="M40">
        <f t="shared" si="66"/>
        <v>107.63322</v>
      </c>
      <c r="N40">
        <f t="shared" si="67"/>
        <v>53.610458</v>
      </c>
      <c r="O40">
        <f t="shared" si="74"/>
        <v>37.952197</v>
      </c>
      <c r="Q40">
        <f t="shared" si="68"/>
        <v>1979.9084</v>
      </c>
      <c r="R40">
        <f t="shared" si="68"/>
        <v>1983.8984</v>
      </c>
      <c r="S40">
        <f t="shared" si="45"/>
        <v>94.865638</v>
      </c>
      <c r="T40">
        <f t="shared" si="75"/>
        <v>98.896483</v>
      </c>
      <c r="V40" s="7">
        <v>946.51878</v>
      </c>
      <c r="X40" s="2">
        <f t="shared" si="76"/>
        <v>-892.908322</v>
      </c>
      <c r="Y40" s="2">
        <f t="shared" si="70"/>
        <v>-908.566583</v>
      </c>
      <c r="Z40" s="2">
        <f t="shared" si="25"/>
        <v>1041.384418</v>
      </c>
      <c r="AA40" s="2">
        <f t="shared" si="26"/>
        <v>1045.415263</v>
      </c>
      <c r="AC40">
        <f t="shared" si="77"/>
        <v>11.021452500000064</v>
      </c>
      <c r="AD40">
        <f t="shared" si="40"/>
        <v>13.521159499999758</v>
      </c>
      <c r="AH40">
        <f t="shared" si="78"/>
        <v>-27.325437400000055</v>
      </c>
      <c r="AI40">
        <f t="shared" si="78"/>
        <v>-27.332932819999996</v>
      </c>
      <c r="AJ40">
        <f t="shared" si="79"/>
        <v>-37.23078239999995</v>
      </c>
      <c r="AK40">
        <f t="shared" si="80"/>
        <v>-37.31362739999986</v>
      </c>
      <c r="AM40">
        <v>945</v>
      </c>
      <c r="AN40">
        <v>-1036.7</v>
      </c>
      <c r="AO40">
        <v>84.5</v>
      </c>
      <c r="AP40">
        <v>-856.1</v>
      </c>
      <c r="AQ40">
        <v>-14.2</v>
      </c>
      <c r="AS40">
        <v>-945</v>
      </c>
      <c r="AT40">
        <v>-77.9</v>
      </c>
      <c r="AU40">
        <v>1016.4</v>
      </c>
      <c r="AV40">
        <v>98.8</v>
      </c>
      <c r="AW40">
        <v>920.8</v>
      </c>
    </row>
    <row r="41" spans="1:49" ht="16.5">
      <c r="A41" s="1">
        <v>40039</v>
      </c>
      <c r="B41" s="13">
        <v>124.20909</v>
      </c>
      <c r="C41" s="13">
        <v>108.79032</v>
      </c>
      <c r="D41" s="13">
        <v>55.589165</v>
      </c>
      <c r="E41" s="13">
        <v>39.559788</v>
      </c>
      <c r="F41" s="13"/>
      <c r="G41" s="13">
        <v>1979.7145</v>
      </c>
      <c r="H41" s="13">
        <v>1983.6623</v>
      </c>
      <c r="I41" s="13">
        <v>94.038227</v>
      </c>
      <c r="J41" s="13">
        <v>98.151396</v>
      </c>
      <c r="L41">
        <f t="shared" si="66"/>
        <v>124.20909</v>
      </c>
      <c r="M41">
        <f t="shared" si="66"/>
        <v>108.79032</v>
      </c>
      <c r="N41" s="13">
        <f>D41</f>
        <v>55.589165</v>
      </c>
      <c r="O41" s="13">
        <f>E41</f>
        <v>39.559788</v>
      </c>
      <c r="Q41">
        <f t="shared" si="68"/>
        <v>1979.7145</v>
      </c>
      <c r="R41">
        <f t="shared" si="68"/>
        <v>1983.6623</v>
      </c>
      <c r="S41" s="13">
        <f>I41</f>
        <v>94.038227</v>
      </c>
      <c r="T41" s="13">
        <f>J41</f>
        <v>98.151396</v>
      </c>
      <c r="V41" s="7">
        <v>947.30492</v>
      </c>
      <c r="X41" s="2">
        <f t="shared" si="76"/>
        <v>-891.7157550000001</v>
      </c>
      <c r="Y41" s="2">
        <f t="shared" si="70"/>
        <v>-907.745132</v>
      </c>
      <c r="Z41" s="2">
        <f t="shared" si="25"/>
        <v>1041.343147</v>
      </c>
      <c r="AA41" s="2">
        <f t="shared" si="26"/>
        <v>1045.456316</v>
      </c>
      <c r="AC41">
        <f>1.56-((X41+Y41)/2-(-891.276))</f>
        <v>10.014443500000139</v>
      </c>
      <c r="AD41">
        <f t="shared" si="40"/>
        <v>13.521268499999824</v>
      </c>
      <c r="AH41">
        <f t="shared" si="78"/>
        <v>-27.57182679000016</v>
      </c>
      <c r="AI41">
        <f t="shared" si="78"/>
        <v>-27.704451919999997</v>
      </c>
      <c r="AJ41">
        <f t="shared" si="79"/>
        <v>-37.07214249999993</v>
      </c>
      <c r="AK41">
        <f t="shared" si="80"/>
        <v>-37.02915529999996</v>
      </c>
      <c r="AM41">
        <v>930</v>
      </c>
      <c r="AN41">
        <f>-121.5-15</f>
        <v>-136.5</v>
      </c>
      <c r="AO41">
        <v>84.2</v>
      </c>
      <c r="AP41">
        <f>-840.5-15</f>
        <v>-855.5</v>
      </c>
      <c r="AQ41">
        <v>-14.5</v>
      </c>
      <c r="AS41">
        <v>-945</v>
      </c>
      <c r="AT41">
        <v>-77.9</v>
      </c>
      <c r="AU41">
        <v>1016.4</v>
      </c>
      <c r="AV41">
        <v>98.9</v>
      </c>
      <c r="AW41">
        <v>920.8</v>
      </c>
    </row>
    <row r="42" spans="1:49" ht="16.5">
      <c r="A42" s="1">
        <v>40048</v>
      </c>
      <c r="B42" s="13">
        <v>124.32169</v>
      </c>
      <c r="C42" s="13">
        <v>108.35887</v>
      </c>
      <c r="D42" s="13">
        <v>57.523865</v>
      </c>
      <c r="E42" s="13">
        <v>41.016848</v>
      </c>
      <c r="F42" s="13"/>
      <c r="G42" s="13">
        <v>1979.4329</v>
      </c>
      <c r="H42" s="13">
        <v>1983.6568</v>
      </c>
      <c r="I42" s="13">
        <v>91.85048</v>
      </c>
      <c r="J42" s="13">
        <v>96.05928</v>
      </c>
      <c r="L42">
        <f t="shared" si="66"/>
        <v>124.32169</v>
      </c>
      <c r="M42">
        <f t="shared" si="66"/>
        <v>108.35887</v>
      </c>
      <c r="N42">
        <f t="shared" si="67"/>
        <v>57.523865</v>
      </c>
      <c r="O42">
        <f t="shared" si="74"/>
        <v>41.016848</v>
      </c>
      <c r="Q42">
        <f t="shared" si="68"/>
        <v>1979.4329</v>
      </c>
      <c r="R42">
        <f t="shared" si="68"/>
        <v>1983.6568</v>
      </c>
      <c r="S42">
        <f t="shared" si="45"/>
        <v>91.85048</v>
      </c>
      <c r="T42">
        <f t="shared" si="75"/>
        <v>96.05928</v>
      </c>
      <c r="V42" s="7">
        <v>948.94269</v>
      </c>
      <c r="X42" s="2">
        <f t="shared" si="76"/>
        <v>-891.418825</v>
      </c>
      <c r="Y42" s="2">
        <f>O42-V42</f>
        <v>-907.925842</v>
      </c>
      <c r="Z42" s="2">
        <f t="shared" si="25"/>
        <v>1040.79317</v>
      </c>
      <c r="AA42" s="2">
        <f t="shared" si="26"/>
        <v>1045.00197</v>
      </c>
      <c r="AC42">
        <f t="shared" si="77"/>
        <v>9.95633349999997</v>
      </c>
      <c r="AD42">
        <f t="shared" si="40"/>
        <v>14.02342999999988</v>
      </c>
      <c r="AH42">
        <f t="shared" si="78"/>
        <v>-27.390987390000078</v>
      </c>
      <c r="AI42">
        <f t="shared" si="78"/>
        <v>-27.44033697000009</v>
      </c>
      <c r="AJ42">
        <f t="shared" si="79"/>
        <v>-37.3317899000001</v>
      </c>
      <c r="AK42">
        <f t="shared" si="80"/>
        <v>-37.47783079999988</v>
      </c>
      <c r="AM42">
        <v>945</v>
      </c>
      <c r="AN42">
        <v>-1036.8</v>
      </c>
      <c r="AO42">
        <v>84.7</v>
      </c>
      <c r="AP42">
        <v>-855.6</v>
      </c>
      <c r="AQ42">
        <v>-14.4</v>
      </c>
      <c r="AS42">
        <v>-945</v>
      </c>
      <c r="AT42">
        <v>-77.6</v>
      </c>
      <c r="AU42">
        <v>1016.1</v>
      </c>
      <c r="AV42">
        <v>99</v>
      </c>
      <c r="AW42">
        <v>920.5</v>
      </c>
    </row>
    <row r="43" spans="1:90" ht="16.5">
      <c r="A43" s="1">
        <v>40084</v>
      </c>
      <c r="B43" s="13">
        <v>126.39147</v>
      </c>
      <c r="C43" s="13">
        <v>109.44109</v>
      </c>
      <c r="D43" s="13">
        <v>68.076083</v>
      </c>
      <c r="E43" s="13">
        <v>50.585195</v>
      </c>
      <c r="F43" s="13"/>
      <c r="G43" s="13">
        <v>1978.2188</v>
      </c>
      <c r="H43" s="13">
        <v>1983.6005</v>
      </c>
      <c r="I43" s="13">
        <v>81.270879</v>
      </c>
      <c r="J43" s="13">
        <v>86.842428</v>
      </c>
      <c r="L43">
        <f t="shared" si="66"/>
        <v>126.39147</v>
      </c>
      <c r="M43">
        <f t="shared" si="66"/>
        <v>109.44109</v>
      </c>
      <c r="N43">
        <f t="shared" si="67"/>
        <v>68.076083</v>
      </c>
      <c r="O43">
        <f t="shared" si="74"/>
        <v>50.585195</v>
      </c>
      <c r="Q43">
        <f t="shared" si="68"/>
        <v>1978.2188</v>
      </c>
      <c r="R43">
        <f t="shared" si="68"/>
        <v>1983.6005</v>
      </c>
      <c r="S43">
        <f t="shared" si="45"/>
        <v>81.270879</v>
      </c>
      <c r="T43">
        <f t="shared" si="75"/>
        <v>86.842428</v>
      </c>
      <c r="V43" s="7">
        <v>957.6383</v>
      </c>
      <c r="X43" s="2">
        <f t="shared" si="76"/>
        <v>-889.5622169999999</v>
      </c>
      <c r="Y43" s="2">
        <f>O43-V43</f>
        <v>-907.053105</v>
      </c>
      <c r="Z43" s="2">
        <f t="shared" si="25"/>
        <v>1038.909179</v>
      </c>
      <c r="AA43" s="2">
        <f t="shared" si="26"/>
        <v>1044.480728</v>
      </c>
      <c r="AC43">
        <f t="shared" si="77"/>
        <v>8.591660999999986</v>
      </c>
      <c r="AD43">
        <f t="shared" si="40"/>
        <v>15.226046500000084</v>
      </c>
      <c r="AH43">
        <f t="shared" si="78"/>
        <v>-27.668322569999987</v>
      </c>
      <c r="AI43">
        <f t="shared" si="78"/>
        <v>-27.68336879000003</v>
      </c>
      <c r="AJ43">
        <f t="shared" si="79"/>
        <v>-37.96404380000013</v>
      </c>
      <c r="AK43">
        <f t="shared" si="80"/>
        <v>-37.94102750000002</v>
      </c>
      <c r="AM43">
        <v>945</v>
      </c>
      <c r="AN43">
        <v>-1037.2</v>
      </c>
      <c r="AO43">
        <v>85.2</v>
      </c>
      <c r="AP43">
        <v>-854.7</v>
      </c>
      <c r="AQ43">
        <v>-14.8</v>
      </c>
      <c r="AS43">
        <v>-945</v>
      </c>
      <c r="AT43">
        <v>-78.2</v>
      </c>
      <c r="AU43">
        <v>1017.3</v>
      </c>
      <c r="AV43">
        <v>100.2</v>
      </c>
      <c r="AW43">
        <v>920.1</v>
      </c>
      <c r="BA43" s="17">
        <v>-675.036</v>
      </c>
      <c r="BB43" s="17">
        <v>-692.54</v>
      </c>
      <c r="BC43" s="17">
        <v>1019.33</v>
      </c>
      <c r="BD43" s="17">
        <v>1024.65</v>
      </c>
      <c r="BF43">
        <v>270</v>
      </c>
      <c r="BG43" t="s">
        <v>137</v>
      </c>
      <c r="BH43" t="s">
        <v>58</v>
      </c>
      <c r="BI43">
        <v>1800</v>
      </c>
      <c r="BJ43" s="7">
        <f>(1800-BI43)*0.25</f>
        <v>0</v>
      </c>
      <c r="BK43">
        <v>1800</v>
      </c>
      <c r="BL43" s="7">
        <f>(1800-BK43)*0.24</f>
        <v>0</v>
      </c>
      <c r="BM43">
        <v>306</v>
      </c>
      <c r="BN43">
        <v>306</v>
      </c>
      <c r="BP43">
        <f>BA43+(BM43-256)-256</f>
        <v>-881.036</v>
      </c>
      <c r="BQ43">
        <f>BB43+(BN43-256)-256</f>
        <v>-898.54</v>
      </c>
      <c r="BS43">
        <f>BC43+BL43</f>
        <v>1019.33</v>
      </c>
      <c r="BT43">
        <f>BD43+BL43</f>
        <v>1024.65</v>
      </c>
      <c r="BV43" s="7">
        <f>(BS43+$BV$7-146)*0.996</f>
        <v>912.15331685152</v>
      </c>
      <c r="BW43" s="7">
        <f>(BT43+$BV$7-146)*0.996</f>
        <v>917.4520368515202</v>
      </c>
      <c r="BY43">
        <f>BP43-(945-AM43)</f>
        <v>-881.036</v>
      </c>
      <c r="BZ43">
        <f>BQ43-(945-AM43)</f>
        <v>-898.54</v>
      </c>
      <c r="CA43">
        <f>BV43-(945+AS43)</f>
        <v>912.15331685152</v>
      </c>
      <c r="CB43">
        <f>BW43-(945+AS43)</f>
        <v>917.4520368515202</v>
      </c>
      <c r="CD43" s="7">
        <f>BY43*(-1)-(L43-1024+7.51)*1.031*(-1)</f>
        <v>-36.655584429999976</v>
      </c>
      <c r="CE43" s="7">
        <f>BZ43*(-1)-(M43-1024+7.51)*1.031*(-1)</f>
        <v>-36.62742620999995</v>
      </c>
      <c r="CF43" s="7">
        <f>CA43*(-1)-(Q43-1024-15.56)*1.031*(-1)</f>
        <v>55.60390594848013</v>
      </c>
      <c r="CG43" s="7">
        <f>CB43*(-1)-(R43-1024-15.56)*1.031*(-1)</f>
        <v>55.8537186484798</v>
      </c>
      <c r="CI43" s="7">
        <f>BY43*(-1)-(X43-1024*0.0545)*(-1)</f>
        <v>-64.33421699999997</v>
      </c>
      <c r="CJ43" s="7">
        <f>BZ43*(-1)-(Y43-1024*0.0545)*(-1)</f>
        <v>-64.32110499999999</v>
      </c>
      <c r="CK43" s="7">
        <f>CF43*(-1)-(Z43-1024-15.56)*1.031*(-1)</f>
        <v>-56.27490239948014</v>
      </c>
      <c r="CL43" s="7">
        <f>CG43*(-1)-(AA43-1024-15.56)*1.031*(-1)</f>
        <v>-50.7804480804798</v>
      </c>
    </row>
    <row r="44" spans="1:49" ht="16.5">
      <c r="A44" s="1">
        <v>40212</v>
      </c>
      <c r="B44" s="13">
        <v>129.08741</v>
      </c>
      <c r="C44" s="13">
        <v>107.5056</v>
      </c>
      <c r="D44" s="13">
        <v>87.611742</v>
      </c>
      <c r="E44" s="13">
        <v>65.39235</v>
      </c>
      <c r="F44" s="13"/>
      <c r="G44" s="13">
        <v>1975.9332</v>
      </c>
      <c r="H44" s="13">
        <v>1983.176</v>
      </c>
      <c r="I44" s="13">
        <v>62.31844</v>
      </c>
      <c r="J44" s="13">
        <v>69.719473</v>
      </c>
      <c r="L44">
        <f aca="true" t="shared" si="81" ref="L44:M58">B44</f>
        <v>129.08741</v>
      </c>
      <c r="M44">
        <f t="shared" si="81"/>
        <v>107.5056</v>
      </c>
      <c r="N44">
        <f>D44+(AM44-945)</f>
        <v>87.611742</v>
      </c>
      <c r="O44">
        <f t="shared" si="74"/>
        <v>65.39235</v>
      </c>
      <c r="Q44">
        <f aca="true" t="shared" si="82" ref="Q44:R58">G44</f>
        <v>1975.9332</v>
      </c>
      <c r="R44">
        <f t="shared" si="82"/>
        <v>1983.176</v>
      </c>
      <c r="S44">
        <f aca="true" t="shared" si="83" ref="S44:S58">I44+(AS44+945)</f>
        <v>62.31844</v>
      </c>
      <c r="T44">
        <f t="shared" si="75"/>
        <v>69.719473</v>
      </c>
      <c r="V44" s="7">
        <v>973.65261</v>
      </c>
      <c r="X44" s="2">
        <f t="shared" si="76"/>
        <v>-886.0408679999999</v>
      </c>
      <c r="Y44" s="2">
        <f>O44-V44</f>
        <v>-908.26026</v>
      </c>
      <c r="Z44" s="2">
        <f aca="true" t="shared" si="84" ref="Z44:Z58">S44+V44</f>
        <v>1035.9710499999999</v>
      </c>
      <c r="AA44" s="2">
        <f aca="true" t="shared" si="85" ref="AA44:AA58">T44+V44</f>
        <v>1043.372083</v>
      </c>
      <c r="AC44">
        <f t="shared" si="77"/>
        <v>7.434564000000078</v>
      </c>
      <c r="AD44">
        <f aca="true" t="shared" si="86" ref="AD44:AD58">11.16-((Z44+AA44)/2-1045.761)</f>
        <v>17.24943350000004</v>
      </c>
      <c r="AE44" s="17">
        <v>7.43</v>
      </c>
      <c r="AF44" s="17">
        <v>17.25</v>
      </c>
      <c r="AH44">
        <f>(X44-1024*0.0545)-(L44-1024+7.5)*1.031</f>
        <v>-26.926487709999947</v>
      </c>
      <c r="AI44">
        <f>(Y44-1024*0.0545)-(M44-1024+7.5)*1.031</f>
        <v>-26.895033600000033</v>
      </c>
      <c r="AJ44">
        <f t="shared" si="79"/>
        <v>-38.54571920000001</v>
      </c>
      <c r="AK44">
        <f t="shared" si="80"/>
        <v>-38.61201299999993</v>
      </c>
      <c r="AM44">
        <v>945</v>
      </c>
      <c r="AN44">
        <v>-1040.4</v>
      </c>
      <c r="AO44">
        <v>86.2</v>
      </c>
      <c r="AP44">
        <v>-853.3</v>
      </c>
      <c r="AQ44">
        <v>-16.2</v>
      </c>
      <c r="AS44">
        <v>-945</v>
      </c>
      <c r="AT44">
        <v>-81.7</v>
      </c>
      <c r="AU44">
        <v>1017.8</v>
      </c>
      <c r="AV44">
        <v>101.2</v>
      </c>
      <c r="AW44">
        <v>918.9</v>
      </c>
    </row>
    <row r="45" spans="1:49" ht="16.5">
      <c r="A45" s="1">
        <v>40261</v>
      </c>
      <c r="B45" s="13">
        <v>123.64708</v>
      </c>
      <c r="C45" s="13">
        <v>105.30719</v>
      </c>
      <c r="G45" s="13">
        <v>1976.8153</v>
      </c>
      <c r="H45" s="13">
        <v>1981.7794</v>
      </c>
      <c r="I45">
        <v>75.46777</v>
      </c>
      <c r="J45">
        <v>80.604389</v>
      </c>
      <c r="L45">
        <f t="shared" si="81"/>
        <v>123.64708</v>
      </c>
      <c r="M45">
        <f t="shared" si="81"/>
        <v>105.30719</v>
      </c>
      <c r="Q45">
        <f t="shared" si="82"/>
        <v>1976.8153</v>
      </c>
      <c r="R45">
        <f t="shared" si="82"/>
        <v>1981.7794</v>
      </c>
      <c r="S45">
        <f t="shared" si="83"/>
        <v>75.46777</v>
      </c>
      <c r="T45">
        <f t="shared" si="75"/>
        <v>80.604389</v>
      </c>
      <c r="V45" s="7">
        <v>962.64589</v>
      </c>
      <c r="X45" s="2"/>
      <c r="Y45" s="2"/>
      <c r="Z45" s="2">
        <f t="shared" si="84"/>
        <v>1038.11366</v>
      </c>
      <c r="AA45" s="2">
        <f t="shared" si="85"/>
        <v>1043.250279</v>
      </c>
      <c r="AD45">
        <f t="shared" si="86"/>
        <v>16.239030500000045</v>
      </c>
      <c r="AJ45">
        <f t="shared" si="79"/>
        <v>-37.31255429999999</v>
      </c>
      <c r="AK45">
        <f t="shared" si="80"/>
        <v>-37.293922399999815</v>
      </c>
      <c r="AM45">
        <v>945</v>
      </c>
      <c r="AN45">
        <v>-1038.8</v>
      </c>
      <c r="AO45">
        <v>84.7</v>
      </c>
      <c r="AP45">
        <v>-854.8</v>
      </c>
      <c r="AQ45">
        <v>-15.3</v>
      </c>
      <c r="AS45">
        <v>-945</v>
      </c>
      <c r="AT45">
        <v>-80.2</v>
      </c>
      <c r="AU45">
        <v>1016.7</v>
      </c>
      <c r="AV45">
        <v>99.6</v>
      </c>
      <c r="AW45">
        <v>920</v>
      </c>
    </row>
    <row r="46" spans="1:51" ht="16.5">
      <c r="A46" s="1">
        <v>40281</v>
      </c>
      <c r="B46" s="13">
        <v>121.61575</v>
      </c>
      <c r="C46" s="13">
        <v>104.88791</v>
      </c>
      <c r="D46">
        <v>61.860955</v>
      </c>
      <c r="E46">
        <v>44.429123</v>
      </c>
      <c r="G46" s="13">
        <v>1978.0311</v>
      </c>
      <c r="H46" s="13">
        <v>1981.6988</v>
      </c>
      <c r="I46">
        <v>85.327255</v>
      </c>
      <c r="J46">
        <v>89.207665</v>
      </c>
      <c r="L46">
        <f t="shared" si="81"/>
        <v>121.61575</v>
      </c>
      <c r="M46">
        <f t="shared" si="81"/>
        <v>104.88791</v>
      </c>
      <c r="N46">
        <f aca="true" t="shared" si="87" ref="N46:N58">D46+(AM46-945)</f>
        <v>61.860955</v>
      </c>
      <c r="O46">
        <f aca="true" t="shared" si="88" ref="O46:O58">E46+(AM46-945)</f>
        <v>44.429123</v>
      </c>
      <c r="Q46">
        <f t="shared" si="82"/>
        <v>1978.0311</v>
      </c>
      <c r="R46">
        <f t="shared" si="82"/>
        <v>1981.6988</v>
      </c>
      <c r="S46">
        <f t="shared" si="83"/>
        <v>85.327255</v>
      </c>
      <c r="T46">
        <f t="shared" si="75"/>
        <v>89.207665</v>
      </c>
      <c r="V46" s="7">
        <v>957.15416</v>
      </c>
      <c r="X46" s="2">
        <f aca="true" t="shared" si="89" ref="X46:X58">N46-V46</f>
        <v>-895.2932050000001</v>
      </c>
      <c r="Y46" s="2">
        <f aca="true" t="shared" si="90" ref="Y46:Y58">O46-V46</f>
        <v>-912.725037</v>
      </c>
      <c r="Z46" s="2">
        <f t="shared" si="84"/>
        <v>1042.481415</v>
      </c>
      <c r="AA46" s="2">
        <f t="shared" si="85"/>
        <v>1046.361825</v>
      </c>
      <c r="AC46">
        <f aca="true" t="shared" si="91" ref="AC46:AC58">1.56-((X46+Y46)/2-(-891.276))</f>
        <v>14.293121000000097</v>
      </c>
      <c r="AD46">
        <f t="shared" si="86"/>
        <v>12.499379999999892</v>
      </c>
      <c r="AH46">
        <f aca="true" t="shared" si="92" ref="AH46:AI58">(X46-1024*0.0545)-(L46-1024+7.5)*1.031</f>
        <v>-28.475543250000214</v>
      </c>
      <c r="AI46">
        <f t="shared" si="92"/>
        <v>-28.660972210000182</v>
      </c>
      <c r="AJ46">
        <f t="shared" si="79"/>
        <v>-34.1982890999999</v>
      </c>
      <c r="AK46">
        <f t="shared" si="80"/>
        <v>-34.09927779999987</v>
      </c>
      <c r="AM46">
        <v>945</v>
      </c>
      <c r="AN46">
        <v>-1038</v>
      </c>
      <c r="AO46">
        <v>84.2</v>
      </c>
      <c r="AP46">
        <v>-855.6</v>
      </c>
      <c r="AQ46">
        <v>-15.6</v>
      </c>
      <c r="AS46">
        <v>-945</v>
      </c>
      <c r="AT46">
        <v>-79.1</v>
      </c>
      <c r="AU46">
        <v>1016</v>
      </c>
      <c r="AV46">
        <v>98.9</v>
      </c>
      <c r="AW46">
        <v>920.7</v>
      </c>
      <c r="AY46" t="s">
        <v>112</v>
      </c>
    </row>
    <row r="47" spans="1:49" ht="16.5">
      <c r="A47" s="1">
        <v>40297</v>
      </c>
      <c r="B47" s="13">
        <v>120.24486</v>
      </c>
      <c r="C47" s="13">
        <v>103.75714</v>
      </c>
      <c r="D47">
        <v>57.391029</v>
      </c>
      <c r="E47">
        <v>40.345872</v>
      </c>
      <c r="G47" s="13">
        <v>1978.2955</v>
      </c>
      <c r="H47" s="13">
        <v>1981.6347</v>
      </c>
      <c r="I47">
        <v>88.721037</v>
      </c>
      <c r="J47">
        <v>92.216743</v>
      </c>
      <c r="L47">
        <f t="shared" si="81"/>
        <v>120.24486</v>
      </c>
      <c r="M47">
        <f t="shared" si="81"/>
        <v>103.75714</v>
      </c>
      <c r="N47">
        <f t="shared" si="87"/>
        <v>57.391029</v>
      </c>
      <c r="O47">
        <f t="shared" si="88"/>
        <v>40.345872</v>
      </c>
      <c r="Q47">
        <f t="shared" si="82"/>
        <v>1978.2955</v>
      </c>
      <c r="R47">
        <f t="shared" si="82"/>
        <v>1981.6347</v>
      </c>
      <c r="S47">
        <f t="shared" si="83"/>
        <v>88.721037</v>
      </c>
      <c r="T47">
        <f t="shared" si="75"/>
        <v>92.216743</v>
      </c>
      <c r="V47" s="7">
        <v>953.00239</v>
      </c>
      <c r="X47" s="2">
        <f t="shared" si="89"/>
        <v>-895.611361</v>
      </c>
      <c r="Y47" s="2">
        <f t="shared" si="90"/>
        <v>-912.656518</v>
      </c>
      <c r="Z47" s="2">
        <f t="shared" si="84"/>
        <v>1041.723427</v>
      </c>
      <c r="AA47" s="2">
        <f t="shared" si="85"/>
        <v>1045.219133</v>
      </c>
      <c r="AC47">
        <f t="shared" si="91"/>
        <v>14.417939500000044</v>
      </c>
      <c r="AD47">
        <f t="shared" si="86"/>
        <v>13.449719999999989</v>
      </c>
      <c r="AH47">
        <f t="shared" si="92"/>
        <v>-27.380311660000075</v>
      </c>
      <c r="AI47">
        <f t="shared" si="92"/>
        <v>-27.42662934000009</v>
      </c>
      <c r="AJ47">
        <f t="shared" si="79"/>
        <v>-35.22887349999996</v>
      </c>
      <c r="AK47">
        <f t="shared" si="80"/>
        <v>-35.17588269999999</v>
      </c>
      <c r="AM47">
        <v>945</v>
      </c>
      <c r="AN47">
        <v>-1037.9</v>
      </c>
      <c r="AO47">
        <v>84.4</v>
      </c>
      <c r="AP47">
        <v>-855.8</v>
      </c>
      <c r="AQ47">
        <v>-14.2</v>
      </c>
      <c r="AS47">
        <v>-945</v>
      </c>
      <c r="AT47">
        <v>-78.8</v>
      </c>
      <c r="AU47">
        <v>1015.8</v>
      </c>
      <c r="AV47">
        <v>98.7</v>
      </c>
      <c r="AW47">
        <v>920.8</v>
      </c>
    </row>
    <row r="48" spans="1:51" ht="16.5">
      <c r="A48" s="1">
        <v>40303</v>
      </c>
      <c r="B48" s="13">
        <v>120.22876</v>
      </c>
      <c r="C48" s="13">
        <v>104.24102</v>
      </c>
      <c r="D48">
        <v>55.288582</v>
      </c>
      <c r="E48">
        <v>38.747206</v>
      </c>
      <c r="G48" s="13">
        <v>1978.2636</v>
      </c>
      <c r="H48" s="13">
        <v>1981.394</v>
      </c>
      <c r="I48">
        <v>90.860071</v>
      </c>
      <c r="J48">
        <v>94.237521</v>
      </c>
      <c r="L48">
        <f t="shared" si="81"/>
        <v>120.22876</v>
      </c>
      <c r="M48">
        <f t="shared" si="81"/>
        <v>104.24102</v>
      </c>
      <c r="N48">
        <f t="shared" si="87"/>
        <v>55.288582</v>
      </c>
      <c r="O48">
        <f t="shared" si="88"/>
        <v>38.747206</v>
      </c>
      <c r="Q48">
        <f t="shared" si="82"/>
        <v>1978.2636</v>
      </c>
      <c r="R48">
        <f t="shared" si="82"/>
        <v>1981.394</v>
      </c>
      <c r="S48">
        <f t="shared" si="83"/>
        <v>90.860071</v>
      </c>
      <c r="T48">
        <f t="shared" si="75"/>
        <v>94.237521</v>
      </c>
      <c r="V48" s="7">
        <v>951.56935</v>
      </c>
      <c r="X48" s="2">
        <f t="shared" si="89"/>
        <v>-896.280768</v>
      </c>
      <c r="Y48" s="2">
        <f t="shared" si="90"/>
        <v>-912.822144</v>
      </c>
      <c r="Z48" s="2">
        <f t="shared" si="84"/>
        <v>1042.429421</v>
      </c>
      <c r="AA48" s="2">
        <f t="shared" si="85"/>
        <v>1045.806871</v>
      </c>
      <c r="AC48">
        <f t="shared" si="91"/>
        <v>14.835455999999963</v>
      </c>
      <c r="AD48">
        <f t="shared" si="86"/>
        <v>12.802853999999943</v>
      </c>
      <c r="AH48">
        <f t="shared" si="92"/>
        <v>-28.033119560000046</v>
      </c>
      <c r="AI48">
        <f t="shared" si="92"/>
        <v>-28.091135620000045</v>
      </c>
      <c r="AJ48">
        <f t="shared" si="79"/>
        <v>-34.48999059999994</v>
      </c>
      <c r="AK48">
        <f t="shared" si="80"/>
        <v>-34.33998299999996</v>
      </c>
      <c r="AM48">
        <v>945</v>
      </c>
      <c r="AN48">
        <v>-1037.3</v>
      </c>
      <c r="AO48">
        <v>83.7</v>
      </c>
      <c r="AP48">
        <v>-855.8</v>
      </c>
      <c r="AQ48">
        <v>-14.2</v>
      </c>
      <c r="AS48">
        <v>-945</v>
      </c>
      <c r="AT48">
        <v>-78.7</v>
      </c>
      <c r="AU48">
        <v>1015.6</v>
      </c>
      <c r="AV48">
        <v>98.3</v>
      </c>
      <c r="AW48">
        <v>921.1</v>
      </c>
      <c r="AY48" t="s">
        <v>113</v>
      </c>
    </row>
    <row r="49" spans="1:49" ht="16.5">
      <c r="A49" s="1">
        <v>40398</v>
      </c>
      <c r="B49" s="13">
        <v>121.23515</v>
      </c>
      <c r="C49" s="13">
        <v>101.48624</v>
      </c>
      <c r="D49">
        <v>51.372214</v>
      </c>
      <c r="E49">
        <v>30.989186</v>
      </c>
      <c r="G49" s="13">
        <v>1978.7519</v>
      </c>
      <c r="H49" s="13">
        <v>1982.3522</v>
      </c>
      <c r="I49">
        <v>93.704494</v>
      </c>
      <c r="J49">
        <v>97.459783</v>
      </c>
      <c r="L49">
        <f t="shared" si="81"/>
        <v>121.23515</v>
      </c>
      <c r="M49">
        <f t="shared" si="81"/>
        <v>101.48624</v>
      </c>
      <c r="N49">
        <f t="shared" si="87"/>
        <v>51.372214</v>
      </c>
      <c r="O49">
        <f t="shared" si="88"/>
        <v>30.989186</v>
      </c>
      <c r="Q49">
        <f t="shared" si="82"/>
        <v>1978.7519</v>
      </c>
      <c r="R49">
        <f t="shared" si="82"/>
        <v>1982.3522</v>
      </c>
      <c r="S49">
        <f t="shared" si="83"/>
        <v>93.704494</v>
      </c>
      <c r="T49">
        <f t="shared" si="75"/>
        <v>97.459783</v>
      </c>
      <c r="V49" s="7">
        <v>946.33582</v>
      </c>
      <c r="X49" s="2">
        <f t="shared" si="89"/>
        <v>-894.963606</v>
      </c>
      <c r="Y49" s="2">
        <f t="shared" si="90"/>
        <v>-915.346634</v>
      </c>
      <c r="Z49" s="2">
        <f t="shared" si="84"/>
        <v>1040.040314</v>
      </c>
      <c r="AA49" s="2">
        <f t="shared" si="85"/>
        <v>1043.795603</v>
      </c>
      <c r="AC49">
        <f t="shared" si="91"/>
        <v>15.439120000000058</v>
      </c>
      <c r="AD49">
        <f t="shared" si="86"/>
        <v>15.0030414999998</v>
      </c>
      <c r="AH49">
        <f t="shared" si="92"/>
        <v>-27.753545650000092</v>
      </c>
      <c r="AI49">
        <f t="shared" si="92"/>
        <v>-27.775447439999994</v>
      </c>
      <c r="AJ49">
        <f t="shared" si="79"/>
        <v>-37.38253489999988</v>
      </c>
      <c r="AK49">
        <f>(AA49-2048*0.0545)-(R49-1024-15.56)*1.031</f>
        <v>-39.83915519999994</v>
      </c>
      <c r="AM49">
        <v>945</v>
      </c>
      <c r="AN49">
        <v>-1039.1</v>
      </c>
      <c r="AO49">
        <v>84.6</v>
      </c>
      <c r="AP49">
        <v>-853.7</v>
      </c>
      <c r="AQ49">
        <v>-13.8</v>
      </c>
      <c r="AS49">
        <v>-945</v>
      </c>
      <c r="AT49">
        <v>-80.4</v>
      </c>
      <c r="AU49">
        <v>1016.2</v>
      </c>
      <c r="AV49">
        <v>101</v>
      </c>
      <c r="AW49">
        <v>921.1</v>
      </c>
    </row>
    <row r="50" spans="1:49" ht="16.5">
      <c r="A50" s="1">
        <v>40402</v>
      </c>
      <c r="B50" s="13">
        <v>121.59002</v>
      </c>
      <c r="C50" s="13">
        <v>102.06996</v>
      </c>
      <c r="D50">
        <v>51.947661</v>
      </c>
      <c r="E50">
        <v>31.783692</v>
      </c>
      <c r="G50" s="13">
        <v>1978.4292</v>
      </c>
      <c r="H50" s="13">
        <v>1982.1661</v>
      </c>
      <c r="I50">
        <v>94.397367</v>
      </c>
      <c r="J50">
        <v>98.16508</v>
      </c>
      <c r="L50">
        <f t="shared" si="81"/>
        <v>121.59002</v>
      </c>
      <c r="M50">
        <f t="shared" si="81"/>
        <v>102.06996</v>
      </c>
      <c r="N50">
        <f t="shared" si="87"/>
        <v>51.947661</v>
      </c>
      <c r="O50">
        <f t="shared" si="88"/>
        <v>31.783692</v>
      </c>
      <c r="Q50">
        <f t="shared" si="82"/>
        <v>1978.4292</v>
      </c>
      <c r="R50">
        <f t="shared" si="82"/>
        <v>1982.1661</v>
      </c>
      <c r="S50">
        <f t="shared" si="83"/>
        <v>94.397367</v>
      </c>
      <c r="T50">
        <f t="shared" si="75"/>
        <v>98.16508</v>
      </c>
      <c r="V50" s="7">
        <v>946.93852</v>
      </c>
      <c r="X50" s="2">
        <f t="shared" si="89"/>
        <v>-894.990859</v>
      </c>
      <c r="Y50" s="2">
        <f t="shared" si="90"/>
        <v>-915.1548280000001</v>
      </c>
      <c r="Z50" s="2">
        <f t="shared" si="84"/>
        <v>1041.335887</v>
      </c>
      <c r="AA50" s="2">
        <f t="shared" si="85"/>
        <v>1045.1036000000001</v>
      </c>
      <c r="AC50">
        <f t="shared" si="91"/>
        <v>15.356843500000137</v>
      </c>
      <c r="AD50">
        <f t="shared" si="86"/>
        <v>13.701256499999918</v>
      </c>
      <c r="AH50">
        <f t="shared" si="92"/>
        <v>-28.14666962000001</v>
      </c>
      <c r="AI50">
        <f t="shared" si="92"/>
        <v>-28.185456760000193</v>
      </c>
      <c r="AJ50">
        <f t="shared" si="79"/>
        <v>-35.754258200000095</v>
      </c>
      <c r="AK50">
        <f>(AA50-2048*0.0545)-(R50-1024-15.56)*1.031</f>
        <v>-38.339289099999746</v>
      </c>
      <c r="AM50">
        <v>945</v>
      </c>
      <c r="AN50">
        <v>-1039.1</v>
      </c>
      <c r="AO50">
        <v>84.5</v>
      </c>
      <c r="AP50">
        <v>-853.9</v>
      </c>
      <c r="AQ50">
        <v>-14.1</v>
      </c>
      <c r="AS50">
        <v>-945</v>
      </c>
      <c r="AT50">
        <v>-80.3</v>
      </c>
      <c r="AU50">
        <v>1016.2</v>
      </c>
      <c r="AV50">
        <v>100.9</v>
      </c>
      <c r="AW50">
        <v>921</v>
      </c>
    </row>
    <row r="51" spans="1:49" ht="16.5">
      <c r="A51" s="1">
        <v>40410</v>
      </c>
      <c r="B51" s="13">
        <v>121.47049</v>
      </c>
      <c r="C51" s="13">
        <v>101.89984</v>
      </c>
      <c r="D51">
        <v>52.46274</v>
      </c>
      <c r="E51">
        <v>32.3955715</v>
      </c>
      <c r="G51" s="13">
        <v>1978.5466</v>
      </c>
      <c r="H51" s="13">
        <v>1982.0622</v>
      </c>
      <c r="I51">
        <v>93.455715</v>
      </c>
      <c r="J51">
        <v>97.246414</v>
      </c>
      <c r="L51">
        <f t="shared" si="81"/>
        <v>121.47049</v>
      </c>
      <c r="M51">
        <f t="shared" si="81"/>
        <v>101.89984</v>
      </c>
      <c r="N51">
        <f t="shared" si="87"/>
        <v>52.46274</v>
      </c>
      <c r="O51">
        <f t="shared" si="88"/>
        <v>32.3955715</v>
      </c>
      <c r="Q51">
        <f t="shared" si="82"/>
        <v>1978.5466</v>
      </c>
      <c r="R51">
        <f t="shared" si="82"/>
        <v>1982.0622</v>
      </c>
      <c r="S51">
        <f t="shared" si="83"/>
        <v>93.455715</v>
      </c>
      <c r="T51">
        <f t="shared" si="75"/>
        <v>97.246414</v>
      </c>
      <c r="V51" s="7">
        <v>948.3182</v>
      </c>
      <c r="X51" s="2">
        <f t="shared" si="89"/>
        <v>-895.85546</v>
      </c>
      <c r="Y51" s="2">
        <f t="shared" si="90"/>
        <v>-915.9226285000001</v>
      </c>
      <c r="Z51" s="2">
        <f t="shared" si="84"/>
        <v>1041.773915</v>
      </c>
      <c r="AA51" s="2">
        <f t="shared" si="85"/>
        <v>1045.5646140000001</v>
      </c>
      <c r="AC51">
        <f t="shared" si="91"/>
        <v>16.173044250000142</v>
      </c>
      <c r="AD51">
        <f t="shared" si="86"/>
        <v>13.251735499999914</v>
      </c>
      <c r="AH51">
        <f t="shared" si="92"/>
        <v>-28.888035190000096</v>
      </c>
      <c r="AI51">
        <f t="shared" si="92"/>
        <v>-28.777863540000226</v>
      </c>
      <c r="AJ51">
        <f t="shared" si="79"/>
        <v>-35.43726959999992</v>
      </c>
      <c r="AK51">
        <f>(AA51-2048*0.0545)-(R51-1024-15.56)*1.031</f>
        <v>-37.771154199999955</v>
      </c>
      <c r="AM51">
        <v>945</v>
      </c>
      <c r="AN51">
        <v>-1038.7</v>
      </c>
      <c r="AO51">
        <v>84.5</v>
      </c>
      <c r="AP51">
        <v>-853.7</v>
      </c>
      <c r="AQ51">
        <v>-13.9</v>
      </c>
      <c r="AS51">
        <v>-945</v>
      </c>
      <c r="AT51">
        <v>-79.9</v>
      </c>
      <c r="AU51">
        <v>1016.4</v>
      </c>
      <c r="AV51">
        <v>101.2</v>
      </c>
      <c r="AW51">
        <v>921.2</v>
      </c>
    </row>
    <row r="52" spans="1:49" ht="16.5">
      <c r="A52" s="1">
        <v>40417</v>
      </c>
      <c r="B52" s="13">
        <v>121.60681</v>
      </c>
      <c r="C52" s="13">
        <v>101.90057</v>
      </c>
      <c r="D52">
        <v>53.990092</v>
      </c>
      <c r="E52">
        <v>33.521598</v>
      </c>
      <c r="G52" s="13">
        <v>1978.3614</v>
      </c>
      <c r="H52" s="13">
        <v>1982.0085</v>
      </c>
      <c r="I52">
        <v>92.262784</v>
      </c>
      <c r="J52">
        <v>96.068409</v>
      </c>
      <c r="L52">
        <f t="shared" si="81"/>
        <v>121.60681</v>
      </c>
      <c r="M52">
        <f t="shared" si="81"/>
        <v>101.90057</v>
      </c>
      <c r="N52">
        <f t="shared" si="87"/>
        <v>53.990092</v>
      </c>
      <c r="O52">
        <f t="shared" si="88"/>
        <v>33.521598</v>
      </c>
      <c r="Q52">
        <f t="shared" si="82"/>
        <v>1978.3614</v>
      </c>
      <c r="R52">
        <f t="shared" si="82"/>
        <v>1982.0085</v>
      </c>
      <c r="S52">
        <f t="shared" si="83"/>
        <v>92.262784</v>
      </c>
      <c r="T52">
        <f t="shared" si="75"/>
        <v>96.068409</v>
      </c>
      <c r="V52" s="7">
        <v>949.70136</v>
      </c>
      <c r="X52" s="2">
        <f t="shared" si="89"/>
        <v>-895.711268</v>
      </c>
      <c r="Y52" s="2">
        <f t="shared" si="90"/>
        <v>-916.179762</v>
      </c>
      <c r="Z52" s="2">
        <f t="shared" si="84"/>
        <v>1041.964144</v>
      </c>
      <c r="AA52" s="2">
        <f t="shared" si="85"/>
        <v>1045.769769</v>
      </c>
      <c r="AC52">
        <f t="shared" si="91"/>
        <v>16.229515000000045</v>
      </c>
      <c r="AD52">
        <f t="shared" si="86"/>
        <v>13.054043499999953</v>
      </c>
      <c r="AH52">
        <f t="shared" si="92"/>
        <v>-28.88438911000003</v>
      </c>
      <c r="AI52">
        <f t="shared" si="92"/>
        <v>-29.035749670000087</v>
      </c>
      <c r="AJ52">
        <f t="shared" si="79"/>
        <v>-35.05609939999988</v>
      </c>
      <c r="AK52">
        <f>(AA52-2048*0.0545)-(R52-1024-15.56)*1.031</f>
        <v>-37.510634499999924</v>
      </c>
      <c r="AM52">
        <v>945</v>
      </c>
      <c r="AN52">
        <v>-1038.7</v>
      </c>
      <c r="AO52">
        <v>84.7</v>
      </c>
      <c r="AP52">
        <v>-853.3</v>
      </c>
      <c r="AQ52">
        <v>-14.2</v>
      </c>
      <c r="AS52">
        <v>-945</v>
      </c>
      <c r="AT52">
        <v>-80</v>
      </c>
      <c r="AU52">
        <v>1016.4</v>
      </c>
      <c r="AV52">
        <v>101.2</v>
      </c>
      <c r="AW52">
        <v>921.2</v>
      </c>
    </row>
    <row r="53" spans="1:49" ht="16.5">
      <c r="A53" s="1">
        <v>40510</v>
      </c>
      <c r="B53" s="13">
        <v>128.11141</v>
      </c>
      <c r="C53" s="13">
        <v>103.91629</v>
      </c>
      <c r="D53">
        <v>85.179516</v>
      </c>
      <c r="E53">
        <v>60.427873</v>
      </c>
      <c r="G53" s="13">
        <v>1974.9555</v>
      </c>
      <c r="H53" s="13">
        <v>1981.9243</v>
      </c>
      <c r="I53">
        <v>65.00566</v>
      </c>
      <c r="J53">
        <v>72.05447</v>
      </c>
      <c r="L53">
        <f t="shared" si="81"/>
        <v>128.11141</v>
      </c>
      <c r="M53">
        <f t="shared" si="81"/>
        <v>103.91629</v>
      </c>
      <c r="N53">
        <f t="shared" si="87"/>
        <v>85.179516</v>
      </c>
      <c r="O53">
        <f t="shared" si="88"/>
        <v>60.427873</v>
      </c>
      <c r="Q53">
        <f t="shared" si="82"/>
        <v>1974.9555</v>
      </c>
      <c r="R53">
        <f t="shared" si="82"/>
        <v>1981.9243</v>
      </c>
      <c r="S53">
        <f t="shared" si="83"/>
        <v>65.00566</v>
      </c>
      <c r="T53">
        <f t="shared" si="75"/>
        <v>72.05447</v>
      </c>
      <c r="V53" s="7">
        <v>972.62059</v>
      </c>
      <c r="X53" s="2">
        <f t="shared" si="89"/>
        <v>-887.441074</v>
      </c>
      <c r="Y53" s="2">
        <f t="shared" si="90"/>
        <v>-912.192717</v>
      </c>
      <c r="Z53" s="2">
        <f t="shared" si="84"/>
        <v>1037.62625</v>
      </c>
      <c r="AA53" s="2">
        <f t="shared" si="85"/>
        <v>1044.67506</v>
      </c>
      <c r="AC53">
        <f t="shared" si="91"/>
        <v>10.100895500000034</v>
      </c>
      <c r="AD53">
        <f t="shared" si="86"/>
        <v>15.770345000000052</v>
      </c>
      <c r="AH53">
        <f t="shared" si="92"/>
        <v>-27.320437709999965</v>
      </c>
      <c r="AI53">
        <f t="shared" si="92"/>
        <v>-27.126911990000053</v>
      </c>
      <c r="AJ53">
        <f t="shared" si="79"/>
        <v>-35.88251049999997</v>
      </c>
      <c r="AK53">
        <f>(AA53-2048*0.0545)-(R53-1024-15.56)*1.031</f>
        <v>-38.51853329999983</v>
      </c>
      <c r="AM53">
        <v>945</v>
      </c>
      <c r="AN53">
        <v>-1041.2</v>
      </c>
      <c r="AO53">
        <v>86.1</v>
      </c>
      <c r="AP53">
        <v>-851.3</v>
      </c>
      <c r="AQ53">
        <v>-16.1</v>
      </c>
      <c r="AS53">
        <v>-945</v>
      </c>
      <c r="AT53">
        <v>-82.8</v>
      </c>
      <c r="AU53">
        <v>1017.9</v>
      </c>
      <c r="AV53">
        <v>102.8</v>
      </c>
      <c r="AW53">
        <v>919.2</v>
      </c>
    </row>
    <row r="54" spans="1:49" ht="16.5">
      <c r="A54" s="1">
        <v>40547</v>
      </c>
      <c r="B54" s="13">
        <v>128.35785</v>
      </c>
      <c r="C54" s="13">
        <v>103.51255</v>
      </c>
      <c r="D54">
        <v>88.416274</v>
      </c>
      <c r="E54">
        <v>62.744547</v>
      </c>
      <c r="G54" s="13">
        <v>1974.5262</v>
      </c>
      <c r="H54" s="13">
        <v>1981.7699</v>
      </c>
      <c r="I54">
        <v>60.759337</v>
      </c>
      <c r="J54">
        <v>68.307</v>
      </c>
      <c r="L54">
        <f t="shared" si="81"/>
        <v>128.35785</v>
      </c>
      <c r="M54">
        <f t="shared" si="81"/>
        <v>103.51255</v>
      </c>
      <c r="N54">
        <f t="shared" si="87"/>
        <v>88.416274</v>
      </c>
      <c r="O54">
        <f t="shared" si="88"/>
        <v>62.744547</v>
      </c>
      <c r="Q54">
        <f t="shared" si="82"/>
        <v>1974.5262</v>
      </c>
      <c r="R54">
        <f t="shared" si="82"/>
        <v>1981.7699</v>
      </c>
      <c r="S54">
        <f t="shared" si="83"/>
        <v>60.759337</v>
      </c>
      <c r="T54">
        <f t="shared" si="75"/>
        <v>68.307</v>
      </c>
      <c r="V54" s="7">
        <v>975.93221</v>
      </c>
      <c r="X54" s="2">
        <f t="shared" si="89"/>
        <v>-887.515936</v>
      </c>
      <c r="Y54" s="2">
        <f t="shared" si="90"/>
        <v>-913.187663</v>
      </c>
      <c r="Z54" s="2">
        <f t="shared" si="84"/>
        <v>1036.6915470000001</v>
      </c>
      <c r="AA54" s="2">
        <f t="shared" si="85"/>
        <v>1044.23921</v>
      </c>
      <c r="AC54">
        <f t="shared" si="91"/>
        <v>10.635799500000017</v>
      </c>
      <c r="AD54">
        <f t="shared" si="86"/>
        <v>16.455621499999925</v>
      </c>
      <c r="AH54">
        <f t="shared" si="92"/>
        <v>-27.649379350000117</v>
      </c>
      <c r="AI54">
        <f t="shared" si="92"/>
        <v>-27.705602050000152</v>
      </c>
      <c r="AJ54">
        <f>(Z54-2048*0.0545)-(Q54-1024-15.56)*1.031+2.5</f>
        <v>-36.374605199999905</v>
      </c>
      <c r="AK54">
        <f>(AA54-2048*0.0545)-(R54-1024-15.56)*1.031+2.5</f>
        <v>-36.295196900000064</v>
      </c>
      <c r="AM54">
        <v>945</v>
      </c>
      <c r="AN54">
        <v>-1042.2</v>
      </c>
      <c r="AO54">
        <v>86.1</v>
      </c>
      <c r="AP54">
        <v>-851.5</v>
      </c>
      <c r="AQ54">
        <v>-16.1</v>
      </c>
      <c r="AS54">
        <v>-945</v>
      </c>
      <c r="AT54">
        <v>-83.4</v>
      </c>
      <c r="AU54">
        <v>1017.9</v>
      </c>
      <c r="AV54">
        <v>103.6</v>
      </c>
      <c r="AW54">
        <v>918.8</v>
      </c>
    </row>
    <row r="55" spans="1:49" ht="16.5">
      <c r="A55" s="1">
        <v>40581</v>
      </c>
      <c r="B55" s="13">
        <v>127.95136</v>
      </c>
      <c r="C55" s="13">
        <v>102.80898</v>
      </c>
      <c r="D55">
        <v>84.092618</v>
      </c>
      <c r="E55">
        <v>57.991635</v>
      </c>
      <c r="G55" s="13">
        <v>1974.4711</v>
      </c>
      <c r="H55" s="13">
        <v>1981.6398</v>
      </c>
      <c r="I55">
        <v>64.002739</v>
      </c>
      <c r="J55">
        <v>71.321923</v>
      </c>
      <c r="L55">
        <f t="shared" si="81"/>
        <v>127.95136</v>
      </c>
      <c r="M55">
        <f t="shared" si="81"/>
        <v>102.80898</v>
      </c>
      <c r="N55">
        <f t="shared" si="87"/>
        <v>84.092618</v>
      </c>
      <c r="O55">
        <f t="shared" si="88"/>
        <v>57.991635</v>
      </c>
      <c r="Q55">
        <f t="shared" si="82"/>
        <v>1974.4711</v>
      </c>
      <c r="R55">
        <f t="shared" si="82"/>
        <v>1981.6398</v>
      </c>
      <c r="S55">
        <f t="shared" si="83"/>
        <v>64.002739</v>
      </c>
      <c r="T55">
        <f t="shared" si="75"/>
        <v>71.321923</v>
      </c>
      <c r="V55" s="7">
        <v>973.07706</v>
      </c>
      <c r="X55" s="2">
        <f t="shared" si="89"/>
        <v>-888.984442</v>
      </c>
      <c r="Y55" s="2">
        <f t="shared" si="90"/>
        <v>-915.085425</v>
      </c>
      <c r="Z55" s="2">
        <f t="shared" si="84"/>
        <v>1037.0797989999999</v>
      </c>
      <c r="AA55" s="2">
        <f t="shared" si="85"/>
        <v>1044.398983</v>
      </c>
      <c r="AC55">
        <f t="shared" si="91"/>
        <v>12.318933500000012</v>
      </c>
      <c r="AD55">
        <f t="shared" si="86"/>
        <v>16.1816089999999</v>
      </c>
      <c r="AH55">
        <f t="shared" si="92"/>
        <v>-28.698794160000034</v>
      </c>
      <c r="AI55">
        <f t="shared" si="92"/>
        <v>-28.877983380000046</v>
      </c>
      <c r="AJ55">
        <f>(Z55-2048*0.0545)-(Q55-1024-15.56)*1.031+2.5</f>
        <v>-35.92954510000004</v>
      </c>
      <c r="AK55">
        <f>(AA55-2048*0.0545)-(R55-1024-15.56)*1.031+2.5</f>
        <v>-36.00129079999988</v>
      </c>
      <c r="AM55">
        <v>945</v>
      </c>
      <c r="AN55">
        <v>-1042.5</v>
      </c>
      <c r="AO55">
        <v>86</v>
      </c>
      <c r="AP55">
        <v>-851.5</v>
      </c>
      <c r="AQ55">
        <v>-16.1</v>
      </c>
      <c r="AS55">
        <v>-945</v>
      </c>
      <c r="AT55">
        <v>-83.7</v>
      </c>
      <c r="AU55">
        <v>1017.8</v>
      </c>
      <c r="AV55">
        <v>103.2</v>
      </c>
      <c r="AW55">
        <v>919.1</v>
      </c>
    </row>
    <row r="56" spans="1:49" ht="16.5">
      <c r="A56" s="1">
        <v>40613</v>
      </c>
      <c r="B56" s="13">
        <v>124.47114</v>
      </c>
      <c r="C56" s="13">
        <v>101.89669</v>
      </c>
      <c r="D56">
        <v>74.306167</v>
      </c>
      <c r="E56">
        <v>50.877875</v>
      </c>
      <c r="G56" s="13">
        <v>1975.8981</v>
      </c>
      <c r="H56" s="13">
        <v>1981.2763</v>
      </c>
      <c r="I56">
        <v>72.994275</v>
      </c>
      <c r="J56">
        <v>78.500479</v>
      </c>
      <c r="L56">
        <f t="shared" si="81"/>
        <v>124.47114</v>
      </c>
      <c r="M56">
        <f t="shared" si="81"/>
        <v>101.89669</v>
      </c>
      <c r="N56">
        <f t="shared" si="87"/>
        <v>74.306167</v>
      </c>
      <c r="O56">
        <f t="shared" si="88"/>
        <v>50.877875</v>
      </c>
      <c r="Q56">
        <f t="shared" si="82"/>
        <v>1975.8981</v>
      </c>
      <c r="R56">
        <f t="shared" si="82"/>
        <v>1981.2763</v>
      </c>
      <c r="S56">
        <f t="shared" si="83"/>
        <v>72.994275</v>
      </c>
      <c r="T56">
        <f t="shared" si="75"/>
        <v>78.500479</v>
      </c>
      <c r="V56" s="7">
        <v>966.18001</v>
      </c>
      <c r="X56" s="2">
        <f t="shared" si="89"/>
        <v>-891.8738430000001</v>
      </c>
      <c r="Y56" s="2">
        <f t="shared" si="90"/>
        <v>-915.302135</v>
      </c>
      <c r="Z56" s="2">
        <f t="shared" si="84"/>
        <v>1039.174285</v>
      </c>
      <c r="AA56" s="2">
        <f t="shared" si="85"/>
        <v>1044.680489</v>
      </c>
      <c r="AC56">
        <f t="shared" si="91"/>
        <v>13.871989000000154</v>
      </c>
      <c r="AD56">
        <f t="shared" si="86"/>
        <v>14.993612999999787</v>
      </c>
      <c r="AH56">
        <f t="shared" si="92"/>
        <v>-28.00008834000016</v>
      </c>
      <c r="AI56">
        <f t="shared" si="92"/>
        <v>-28.15412239000011</v>
      </c>
      <c r="AJ56">
        <f aca="true" t="shared" si="93" ref="AJ56:AK58">(Z56-2048*0.0545)-(Q56-1024-15.56)*1.031+2.5</f>
        <v>-35.306296100000054</v>
      </c>
      <c r="AK56">
        <f t="shared" si="93"/>
        <v>-35.345016299999884</v>
      </c>
      <c r="AM56">
        <v>945</v>
      </c>
      <c r="AN56">
        <v>-1041.2</v>
      </c>
      <c r="AO56">
        <v>85.3</v>
      </c>
      <c r="AP56">
        <v>-852.7</v>
      </c>
      <c r="AQ56">
        <v>-15.2</v>
      </c>
      <c r="AS56">
        <v>-945</v>
      </c>
      <c r="AT56">
        <v>-82.4</v>
      </c>
      <c r="AU56">
        <v>1017.2</v>
      </c>
      <c r="AV56">
        <v>102</v>
      </c>
      <c r="AW56">
        <v>920</v>
      </c>
    </row>
    <row r="57" spans="1:49" ht="16.5">
      <c r="A57" s="1">
        <v>40644</v>
      </c>
      <c r="B57" s="13">
        <v>121.2687</v>
      </c>
      <c r="C57" s="13">
        <v>100.71825</v>
      </c>
      <c r="D57">
        <v>61.35421</v>
      </c>
      <c r="E57">
        <v>39.957516</v>
      </c>
      <c r="G57" s="13">
        <v>1976.5952</v>
      </c>
      <c r="H57" s="13">
        <v>1980.3478</v>
      </c>
      <c r="I57">
        <v>82.349724</v>
      </c>
      <c r="J57">
        <v>86.427433</v>
      </c>
      <c r="L57">
        <f t="shared" si="81"/>
        <v>121.2687</v>
      </c>
      <c r="M57">
        <f t="shared" si="81"/>
        <v>100.71825</v>
      </c>
      <c r="N57">
        <f t="shared" si="87"/>
        <v>61.35421</v>
      </c>
      <c r="O57">
        <f t="shared" si="88"/>
        <v>39.957516</v>
      </c>
      <c r="Q57">
        <f t="shared" si="82"/>
        <v>1976.5952</v>
      </c>
      <c r="R57">
        <f t="shared" si="82"/>
        <v>1980.3478</v>
      </c>
      <c r="S57">
        <f t="shared" si="83"/>
        <v>82.349724</v>
      </c>
      <c r="T57">
        <f t="shared" si="75"/>
        <v>86.427433</v>
      </c>
      <c r="V57" s="7">
        <v>957.76735</v>
      </c>
      <c r="X57" s="2">
        <f t="shared" si="89"/>
        <v>-896.41314</v>
      </c>
      <c r="Y57" s="2">
        <f t="shared" si="90"/>
        <v>-917.8098339999999</v>
      </c>
      <c r="Z57" s="2">
        <f t="shared" si="84"/>
        <v>1040.117074</v>
      </c>
      <c r="AA57" s="2">
        <f t="shared" si="85"/>
        <v>1044.194783</v>
      </c>
      <c r="AC57">
        <f t="shared" si="91"/>
        <v>17.395486999999942</v>
      </c>
      <c r="AD57">
        <f t="shared" si="86"/>
        <v>14.765071500000122</v>
      </c>
      <c r="AH57">
        <f t="shared" si="92"/>
        <v>-29.237669700000083</v>
      </c>
      <c r="AI57">
        <f t="shared" si="92"/>
        <v>-29.446849749999956</v>
      </c>
      <c r="AJ57">
        <f t="shared" si="93"/>
        <v>-35.082217199999945</v>
      </c>
      <c r="AK57">
        <f t="shared" si="93"/>
        <v>-34.87343880000003</v>
      </c>
      <c r="AM57">
        <v>945</v>
      </c>
      <c r="AN57">
        <v>-1040.3</v>
      </c>
      <c r="AO57">
        <v>84.5</v>
      </c>
      <c r="AP57">
        <v>-853.9</v>
      </c>
      <c r="AQ57">
        <v>-14.4</v>
      </c>
      <c r="AS57">
        <v>-945</v>
      </c>
      <c r="AT57">
        <v>-81.2</v>
      </c>
      <c r="AU57">
        <v>1016.1</v>
      </c>
      <c r="AV57">
        <v>100.3</v>
      </c>
      <c r="AW57">
        <v>920.8</v>
      </c>
    </row>
    <row r="58" spans="1:49" ht="16.5">
      <c r="A58" s="1">
        <v>40668</v>
      </c>
      <c r="B58" s="13">
        <v>119.24463</v>
      </c>
      <c r="C58" s="13">
        <v>100.17616</v>
      </c>
      <c r="D58">
        <v>52.33749</v>
      </c>
      <c r="E58">
        <v>32.811647</v>
      </c>
      <c r="G58" s="13">
        <v>1977.3752</v>
      </c>
      <c r="H58" s="13">
        <v>1980.1189</v>
      </c>
      <c r="I58">
        <v>90.023902</v>
      </c>
      <c r="J58">
        <v>92.921654</v>
      </c>
      <c r="L58">
        <f t="shared" si="81"/>
        <v>119.24463</v>
      </c>
      <c r="M58">
        <f t="shared" si="81"/>
        <v>100.17616</v>
      </c>
      <c r="N58">
        <f t="shared" si="87"/>
        <v>52.33749</v>
      </c>
      <c r="O58">
        <f t="shared" si="88"/>
        <v>32.811647</v>
      </c>
      <c r="Q58">
        <f t="shared" si="82"/>
        <v>1977.3752</v>
      </c>
      <c r="R58">
        <f t="shared" si="82"/>
        <v>1980.1189</v>
      </c>
      <c r="S58">
        <f t="shared" si="83"/>
        <v>90.023902</v>
      </c>
      <c r="T58">
        <f t="shared" si="75"/>
        <v>92.921654</v>
      </c>
      <c r="V58" s="7">
        <v>951.62981</v>
      </c>
      <c r="X58" s="2">
        <f t="shared" si="89"/>
        <v>-899.29232</v>
      </c>
      <c r="Y58" s="2">
        <f t="shared" si="90"/>
        <v>-918.818163</v>
      </c>
      <c r="Z58" s="2">
        <f t="shared" si="84"/>
        <v>1041.653712</v>
      </c>
      <c r="AA58" s="2">
        <f t="shared" si="85"/>
        <v>1044.5514640000001</v>
      </c>
      <c r="AC58">
        <f t="shared" si="91"/>
        <v>19.33924150000001</v>
      </c>
      <c r="AD58">
        <f t="shared" si="86"/>
        <v>13.818411999999771</v>
      </c>
      <c r="AH58">
        <f t="shared" si="92"/>
        <v>-30.030033530000082</v>
      </c>
      <c r="AI58">
        <f t="shared" si="92"/>
        <v>-29.89628396000012</v>
      </c>
      <c r="AJ58">
        <f t="shared" si="93"/>
        <v>-34.34975919999988</v>
      </c>
      <c r="AK58">
        <f t="shared" si="93"/>
        <v>-34.28076189999979</v>
      </c>
      <c r="AM58">
        <v>945</v>
      </c>
      <c r="AN58">
        <v>-1039.1</v>
      </c>
      <c r="AO58">
        <v>83.6</v>
      </c>
      <c r="AP58">
        <v>-854.4</v>
      </c>
      <c r="AQ58">
        <v>-13.7</v>
      </c>
      <c r="AS58">
        <v>-945</v>
      </c>
      <c r="AT58">
        <v>-80.4</v>
      </c>
      <c r="AU58">
        <v>1015.8</v>
      </c>
      <c r="AV58">
        <v>100.1</v>
      </c>
      <c r="AW58">
        <v>921.2</v>
      </c>
    </row>
    <row r="59" spans="1:27" ht="16.5">
      <c r="A59" s="1"/>
      <c r="B59" s="13"/>
      <c r="C59" s="13"/>
      <c r="G59" s="13"/>
      <c r="H59" s="13"/>
      <c r="V59" s="7"/>
      <c r="X59" s="2"/>
      <c r="Y59" s="2"/>
      <c r="Z59" s="2"/>
      <c r="AA59" s="2"/>
    </row>
    <row r="60" spans="1:49" ht="16.5">
      <c r="A60" s="1">
        <v>40763</v>
      </c>
      <c r="B60" s="13">
        <v>119.44726</v>
      </c>
      <c r="C60" s="13">
        <v>95.600673</v>
      </c>
      <c r="D60">
        <v>48.597719</v>
      </c>
      <c r="E60">
        <v>23.902236</v>
      </c>
      <c r="G60" s="13">
        <v>1977.9377</v>
      </c>
      <c r="H60" s="13">
        <v>1980.5709</v>
      </c>
      <c r="I60">
        <v>93.993539</v>
      </c>
      <c r="J60">
        <v>96.822138</v>
      </c>
      <c r="L60">
        <f aca="true" t="shared" si="94" ref="L60:M66">B60</f>
        <v>119.44726</v>
      </c>
      <c r="M60">
        <f t="shared" si="94"/>
        <v>95.600673</v>
      </c>
      <c r="N60">
        <f aca="true" t="shared" si="95" ref="N60:N66">D60+(AM60-945)</f>
        <v>48.597719</v>
      </c>
      <c r="O60">
        <f aca="true" t="shared" si="96" ref="O60:O66">E60+(AM60-945)</f>
        <v>23.902236</v>
      </c>
      <c r="Q60">
        <f aca="true" t="shared" si="97" ref="Q60:R66">G60</f>
        <v>1977.9377</v>
      </c>
      <c r="R60">
        <f t="shared" si="97"/>
        <v>1980.5709</v>
      </c>
      <c r="S60">
        <f aca="true" t="shared" si="98" ref="S60:S66">I60+(AS60+945)</f>
        <v>93.993539</v>
      </c>
      <c r="T60">
        <f aca="true" t="shared" si="99" ref="T60:T66">J60+(AS60+945)</f>
        <v>96.822138</v>
      </c>
      <c r="V60" s="7">
        <v>946.29913</v>
      </c>
      <c r="X60" s="2">
        <f aca="true" t="shared" si="100" ref="X60:X66">N60-V60</f>
        <v>-897.701411</v>
      </c>
      <c r="Y60" s="2">
        <f aca="true" t="shared" si="101" ref="Y60:Y66">O60-V60</f>
        <v>-922.396894</v>
      </c>
      <c r="Z60" s="2">
        <f aca="true" t="shared" si="102" ref="Z60:Z66">S60+V60</f>
        <v>1040.292669</v>
      </c>
      <c r="AA60" s="2">
        <f aca="true" t="shared" si="103" ref="AA60:AA66">T60+V60</f>
        <v>1043.1212679999999</v>
      </c>
      <c r="AC60">
        <f aca="true" t="shared" si="104" ref="AC60:AC66">1.56-((X60+Y60)/2-(-891.276))</f>
        <v>20.333152500000036</v>
      </c>
      <c r="AD60">
        <f aca="true" t="shared" si="105" ref="AD60:AD66">11.16-((Z60+AA60)/2-1045.761)</f>
        <v>15.214031500000065</v>
      </c>
      <c r="AH60">
        <f aca="true" t="shared" si="106" ref="AH60:AI66">(X60-1024*0.0545)-(L60-1024+7.5)*1.031</f>
        <v>-28.648036060000095</v>
      </c>
      <c r="AI60">
        <f t="shared" si="106"/>
        <v>-28.757687863000115</v>
      </c>
      <c r="AJ60">
        <f aca="true" t="shared" si="107" ref="AJ60:AK66">(Z60-2048*0.0545)-(Q60-1024-15.56)*1.031+2.5</f>
        <v>-36.29073970000002</v>
      </c>
      <c r="AK60">
        <f t="shared" si="107"/>
        <v>-36.17696990000002</v>
      </c>
      <c r="AM60">
        <v>945</v>
      </c>
      <c r="AN60">
        <v>-1040.8</v>
      </c>
      <c r="AO60">
        <v>83.8</v>
      </c>
      <c r="AP60">
        <v>-851.3</v>
      </c>
      <c r="AQ60">
        <v>-13.6</v>
      </c>
      <c r="AS60">
        <v>-945</v>
      </c>
      <c r="AT60">
        <v>-82</v>
      </c>
      <c r="AU60">
        <v>1015.8</v>
      </c>
      <c r="AV60">
        <v>103.2</v>
      </c>
      <c r="AW60">
        <v>921.6</v>
      </c>
    </row>
    <row r="61" spans="1:49" ht="16.5">
      <c r="A61" s="1">
        <v>40778</v>
      </c>
      <c r="B61" s="13">
        <v>120.32009</v>
      </c>
      <c r="C61" s="13">
        <v>96.173576</v>
      </c>
      <c r="D61">
        <v>50.796616</v>
      </c>
      <c r="E61">
        <v>25.678139</v>
      </c>
      <c r="G61" s="13">
        <v>1977.7684</v>
      </c>
      <c r="H61" s="13">
        <v>1980.5571</v>
      </c>
      <c r="I61">
        <v>94.021229</v>
      </c>
      <c r="J61">
        <v>96.958363</v>
      </c>
      <c r="L61">
        <f t="shared" si="94"/>
        <v>120.32009</v>
      </c>
      <c r="M61">
        <f t="shared" si="94"/>
        <v>96.173576</v>
      </c>
      <c r="N61">
        <f t="shared" si="95"/>
        <v>50.796616</v>
      </c>
      <c r="O61">
        <f t="shared" si="96"/>
        <v>25.678139</v>
      </c>
      <c r="Q61">
        <f t="shared" si="97"/>
        <v>1977.7684</v>
      </c>
      <c r="R61">
        <f t="shared" si="97"/>
        <v>1980.5571</v>
      </c>
      <c r="S61">
        <f t="shared" si="98"/>
        <v>94.021229</v>
      </c>
      <c r="T61">
        <f t="shared" si="99"/>
        <v>96.958363</v>
      </c>
      <c r="V61" s="7">
        <v>948.84139</v>
      </c>
      <c r="X61" s="2">
        <f t="shared" si="100"/>
        <v>-898.0447740000001</v>
      </c>
      <c r="Y61" s="2">
        <f t="shared" si="101"/>
        <v>-923.1632510000001</v>
      </c>
      <c r="Z61" s="2">
        <f t="shared" si="102"/>
        <v>1042.862619</v>
      </c>
      <c r="AA61" s="2">
        <f t="shared" si="103"/>
        <v>1045.799753</v>
      </c>
      <c r="AC61">
        <f t="shared" si="104"/>
        <v>20.888012500000112</v>
      </c>
      <c r="AD61">
        <f t="shared" si="105"/>
        <v>12.589814000000079</v>
      </c>
      <c r="AH61">
        <f t="shared" si="106"/>
        <v>-29.891286790000095</v>
      </c>
      <c r="AI61">
        <f t="shared" si="106"/>
        <v>-30.11470785600011</v>
      </c>
      <c r="AJ61">
        <f t="shared" si="107"/>
        <v>-33.54624139999987</v>
      </c>
      <c r="AK61">
        <f t="shared" si="107"/>
        <v>-33.48425709999992</v>
      </c>
      <c r="AM61">
        <v>945</v>
      </c>
      <c r="AN61">
        <v>-1041.2</v>
      </c>
      <c r="AO61">
        <v>84.2</v>
      </c>
      <c r="AP61">
        <v>-851.2</v>
      </c>
      <c r="AQ61">
        <v>-13.7</v>
      </c>
      <c r="AS61">
        <v>-945</v>
      </c>
      <c r="AT61">
        <v>-82.1</v>
      </c>
      <c r="AU61">
        <v>1015.8</v>
      </c>
      <c r="AV61">
        <v>103.4</v>
      </c>
      <c r="AW61">
        <v>921.4</v>
      </c>
    </row>
    <row r="62" spans="1:49" ht="16.5">
      <c r="A62" s="1">
        <v>40785</v>
      </c>
      <c r="B62" s="13">
        <v>120.81571</v>
      </c>
      <c r="C62" s="13">
        <v>96.355831</v>
      </c>
      <c r="D62">
        <v>52.666811</v>
      </c>
      <c r="E62">
        <v>27.386467</v>
      </c>
      <c r="G62" s="13">
        <v>1977.0273</v>
      </c>
      <c r="H62" s="13">
        <v>1980.5689</v>
      </c>
      <c r="I62">
        <v>91.643592</v>
      </c>
      <c r="J62">
        <v>95.103749</v>
      </c>
      <c r="L62">
        <f t="shared" si="94"/>
        <v>120.81571</v>
      </c>
      <c r="M62">
        <f t="shared" si="94"/>
        <v>96.355831</v>
      </c>
      <c r="N62">
        <f t="shared" si="95"/>
        <v>52.666811</v>
      </c>
      <c r="O62">
        <f t="shared" si="96"/>
        <v>27.386467</v>
      </c>
      <c r="Q62">
        <f t="shared" si="97"/>
        <v>1977.0273</v>
      </c>
      <c r="R62">
        <f t="shared" si="97"/>
        <v>1980.5689</v>
      </c>
      <c r="S62">
        <f t="shared" si="98"/>
        <v>91.643592</v>
      </c>
      <c r="T62">
        <f t="shared" si="99"/>
        <v>95.103749</v>
      </c>
      <c r="V62" s="7">
        <v>950.28389</v>
      </c>
      <c r="X62" s="2">
        <f t="shared" si="100"/>
        <v>-897.617079</v>
      </c>
      <c r="Y62" s="2">
        <f t="shared" si="101"/>
        <v>-922.897423</v>
      </c>
      <c r="Z62" s="2">
        <f t="shared" si="102"/>
        <v>1041.927482</v>
      </c>
      <c r="AA62" s="2">
        <f t="shared" si="103"/>
        <v>1045.387639</v>
      </c>
      <c r="AC62">
        <f t="shared" si="104"/>
        <v>20.54125100000004</v>
      </c>
      <c r="AD62">
        <f t="shared" si="105"/>
        <v>13.263439499999922</v>
      </c>
      <c r="AH62">
        <f t="shared" si="106"/>
        <v>-29.974576010000078</v>
      </c>
      <c r="AI62">
        <f t="shared" si="106"/>
        <v>-30.036784761000035</v>
      </c>
      <c r="AJ62">
        <f t="shared" si="107"/>
        <v>-33.71730429999991</v>
      </c>
      <c r="AK62">
        <f t="shared" si="107"/>
        <v>-33.908536899999945</v>
      </c>
      <c r="AM62">
        <v>945</v>
      </c>
      <c r="AN62">
        <v>-1041.2</v>
      </c>
      <c r="AO62">
        <v>84.1</v>
      </c>
      <c r="AP62">
        <v>-851</v>
      </c>
      <c r="AQ62">
        <v>-13.9</v>
      </c>
      <c r="AS62">
        <v>-945</v>
      </c>
      <c r="AT62">
        <v>-82.7</v>
      </c>
      <c r="AU62">
        <v>1016.1</v>
      </c>
      <c r="AV62">
        <v>103.8</v>
      </c>
      <c r="AW62">
        <v>921.2</v>
      </c>
    </row>
    <row r="63" spans="1:49" ht="16.5">
      <c r="A63" s="1">
        <v>40858</v>
      </c>
      <c r="B63" s="13">
        <v>124.72086</v>
      </c>
      <c r="C63" s="13">
        <v>98.059581</v>
      </c>
      <c r="D63">
        <v>77.271881</v>
      </c>
      <c r="E63">
        <v>49.540534</v>
      </c>
      <c r="G63" s="13">
        <v>1975.7444</v>
      </c>
      <c r="H63" s="13">
        <v>1980.7848</v>
      </c>
      <c r="I63">
        <v>70.987733</v>
      </c>
      <c r="J63">
        <v>76.349063</v>
      </c>
      <c r="L63">
        <f t="shared" si="94"/>
        <v>124.72086</v>
      </c>
      <c r="M63">
        <f t="shared" si="94"/>
        <v>98.059581</v>
      </c>
      <c r="N63">
        <f t="shared" si="95"/>
        <v>77.271881</v>
      </c>
      <c r="O63">
        <f t="shared" si="96"/>
        <v>49.540534</v>
      </c>
      <c r="Q63">
        <f t="shared" si="97"/>
        <v>1975.7444</v>
      </c>
      <c r="R63">
        <f t="shared" si="97"/>
        <v>1980.7848</v>
      </c>
      <c r="S63">
        <f t="shared" si="98"/>
        <v>70.987733</v>
      </c>
      <c r="T63">
        <f t="shared" si="99"/>
        <v>76.349063</v>
      </c>
      <c r="V63" s="7">
        <v>969.11699</v>
      </c>
      <c r="X63" s="2">
        <f t="shared" si="100"/>
        <v>-891.845109</v>
      </c>
      <c r="Y63" s="2">
        <f t="shared" si="101"/>
        <v>-919.576456</v>
      </c>
      <c r="Z63" s="2">
        <f t="shared" si="102"/>
        <v>1040.104723</v>
      </c>
      <c r="AA63" s="2">
        <f t="shared" si="103"/>
        <v>1045.466053</v>
      </c>
      <c r="AC63">
        <f t="shared" si="104"/>
        <v>15.994782500000097</v>
      </c>
      <c r="AD63">
        <f t="shared" si="105"/>
        <v>14.135611999999956</v>
      </c>
      <c r="AH63">
        <f t="shared" si="106"/>
        <v>-28.22881566000001</v>
      </c>
      <c r="AI63">
        <f t="shared" si="106"/>
        <v>-28.47238401100003</v>
      </c>
      <c r="AJ63">
        <f t="shared" si="107"/>
        <v>-34.217393400000105</v>
      </c>
      <c r="AK63">
        <f t="shared" si="107"/>
        <v>-34.05271579999976</v>
      </c>
      <c r="AM63">
        <v>945</v>
      </c>
      <c r="AN63">
        <v>-1042.4</v>
      </c>
      <c r="AO63">
        <v>85.2</v>
      </c>
      <c r="AP63">
        <v>-849.9</v>
      </c>
      <c r="AQ63">
        <v>-15.1</v>
      </c>
      <c r="AS63">
        <v>-945</v>
      </c>
      <c r="AT63">
        <v>-83.8</v>
      </c>
      <c r="AU63">
        <v>1017.2</v>
      </c>
      <c r="AV63">
        <v>104.3</v>
      </c>
      <c r="AW63">
        <v>920.3</v>
      </c>
    </row>
    <row r="64" spans="1:49" ht="16.5">
      <c r="A64" s="1">
        <v>40915</v>
      </c>
      <c r="B64" s="13">
        <v>126.45518</v>
      </c>
      <c r="C64" s="13">
        <v>97.63765</v>
      </c>
      <c r="D64">
        <v>85.777822</v>
      </c>
      <c r="E64">
        <v>56.138508</v>
      </c>
      <c r="G64" s="13">
        <v>1974.0663</v>
      </c>
      <c r="H64" s="13">
        <v>1980.3905</v>
      </c>
      <c r="I64">
        <v>59.819329</v>
      </c>
      <c r="J64">
        <v>66.424464</v>
      </c>
      <c r="L64">
        <f t="shared" si="94"/>
        <v>126.45518</v>
      </c>
      <c r="M64">
        <f t="shared" si="94"/>
        <v>97.63765</v>
      </c>
      <c r="N64">
        <f t="shared" si="95"/>
        <v>85.777822</v>
      </c>
      <c r="O64">
        <f t="shared" si="96"/>
        <v>56.138508</v>
      </c>
      <c r="Q64">
        <f t="shared" si="97"/>
        <v>1974.0663</v>
      </c>
      <c r="R64">
        <f t="shared" si="97"/>
        <v>1980.3905</v>
      </c>
      <c r="S64">
        <f t="shared" si="98"/>
        <v>59.819329</v>
      </c>
      <c r="T64">
        <f t="shared" si="99"/>
        <v>66.424464</v>
      </c>
      <c r="V64" s="7">
        <v>975.91089</v>
      </c>
      <c r="X64" s="2">
        <f t="shared" si="100"/>
        <v>-890.133068</v>
      </c>
      <c r="Y64" s="2">
        <f t="shared" si="101"/>
        <v>-919.772382</v>
      </c>
      <c r="Z64" s="2">
        <f t="shared" si="102"/>
        <v>1035.730219</v>
      </c>
      <c r="AA64" s="2">
        <f t="shared" si="103"/>
        <v>1042.335354</v>
      </c>
      <c r="AC64">
        <f t="shared" si="104"/>
        <v>15.236725000000034</v>
      </c>
      <c r="AD64">
        <f t="shared" si="105"/>
        <v>17.888213500000038</v>
      </c>
      <c r="AH64">
        <f t="shared" si="106"/>
        <v>-28.304858580000086</v>
      </c>
      <c r="AI64">
        <f t="shared" si="106"/>
        <v>-28.233299150000107</v>
      </c>
      <c r="AJ64">
        <f t="shared" si="107"/>
        <v>-36.86177629999986</v>
      </c>
      <c r="AK64">
        <f t="shared" si="107"/>
        <v>-36.77689149999992</v>
      </c>
      <c r="AM64">
        <v>945</v>
      </c>
      <c r="AN64">
        <v>-1043.8</v>
      </c>
      <c r="AO64">
        <v>85.7</v>
      </c>
      <c r="AP64">
        <v>-849.5</v>
      </c>
      <c r="AQ64">
        <v>-15.6</v>
      </c>
      <c r="AS64">
        <v>-945</v>
      </c>
      <c r="AT64">
        <v>-85</v>
      </c>
      <c r="AU64">
        <v>1017.5</v>
      </c>
      <c r="AV64">
        <v>105.2</v>
      </c>
      <c r="AW64">
        <v>919.6</v>
      </c>
    </row>
    <row r="65" spans="1:49" ht="16.5">
      <c r="A65" s="1">
        <v>40950</v>
      </c>
      <c r="B65" s="13">
        <v>125.01747</v>
      </c>
      <c r="C65" s="13">
        <v>96.944539</v>
      </c>
      <c r="D65">
        <v>80.417518</v>
      </c>
      <c r="E65">
        <v>51.394375</v>
      </c>
      <c r="G65" s="13">
        <v>1974.7777</v>
      </c>
      <c r="H65" s="13">
        <v>1980.3762</v>
      </c>
      <c r="I65">
        <v>63.775975</v>
      </c>
      <c r="J65">
        <v>69.653652</v>
      </c>
      <c r="L65">
        <f t="shared" si="94"/>
        <v>125.01747</v>
      </c>
      <c r="M65">
        <f t="shared" si="94"/>
        <v>96.944539</v>
      </c>
      <c r="N65">
        <f t="shared" si="95"/>
        <v>80.417518</v>
      </c>
      <c r="O65">
        <f t="shared" si="96"/>
        <v>51.394375</v>
      </c>
      <c r="Q65">
        <f t="shared" si="97"/>
        <v>1974.7777</v>
      </c>
      <c r="R65">
        <f t="shared" si="97"/>
        <v>1980.3762</v>
      </c>
      <c r="S65">
        <f t="shared" si="98"/>
        <v>63.775975</v>
      </c>
      <c r="T65">
        <f t="shared" si="99"/>
        <v>69.653652</v>
      </c>
      <c r="V65" s="7">
        <v>972.44465</v>
      </c>
      <c r="X65" s="2">
        <f t="shared" si="100"/>
        <v>-892.027132</v>
      </c>
      <c r="Y65" s="2">
        <f t="shared" si="101"/>
        <v>-921.050275</v>
      </c>
      <c r="Z65" s="2">
        <f t="shared" si="102"/>
        <v>1036.220625</v>
      </c>
      <c r="AA65" s="2">
        <f t="shared" si="103"/>
        <v>1042.098302</v>
      </c>
      <c r="AC65">
        <f t="shared" si="104"/>
        <v>16.822703500000156</v>
      </c>
      <c r="AD65">
        <f t="shared" si="105"/>
        <v>17.76153649999984</v>
      </c>
      <c r="AH65">
        <f t="shared" si="106"/>
        <v>-28.716643570000087</v>
      </c>
      <c r="AI65">
        <f t="shared" si="106"/>
        <v>-28.796594709000033</v>
      </c>
      <c r="AJ65">
        <f t="shared" si="107"/>
        <v>-37.10482370000011</v>
      </c>
      <c r="AK65">
        <f t="shared" si="107"/>
        <v>-36.99920019999979</v>
      </c>
      <c r="AM65">
        <v>945</v>
      </c>
      <c r="AN65">
        <v>-1044</v>
      </c>
      <c r="AO65">
        <v>85.2</v>
      </c>
      <c r="AP65">
        <v>-849.9</v>
      </c>
      <c r="AQ65">
        <v>-15.4</v>
      </c>
      <c r="AS65">
        <v>-945</v>
      </c>
      <c r="AT65">
        <v>-85.1</v>
      </c>
      <c r="AU65">
        <v>1016.8</v>
      </c>
      <c r="AV65">
        <v>104.6</v>
      </c>
      <c r="AW65">
        <v>919.6</v>
      </c>
    </row>
    <row r="66" spans="1:49" ht="16.5">
      <c r="A66" s="1">
        <v>40988</v>
      </c>
      <c r="B66" s="13">
        <v>122.04658</v>
      </c>
      <c r="C66" s="13">
        <v>96.008189</v>
      </c>
      <c r="D66">
        <v>67.945454</v>
      </c>
      <c r="E66">
        <v>40.940611</v>
      </c>
      <c r="G66" s="13">
        <v>1975.355</v>
      </c>
      <c r="H66" s="13">
        <v>1979.8269</v>
      </c>
      <c r="I66">
        <v>74.676219</v>
      </c>
      <c r="J66">
        <v>79.17994</v>
      </c>
      <c r="L66">
        <f t="shared" si="94"/>
        <v>122.04658</v>
      </c>
      <c r="M66">
        <f t="shared" si="94"/>
        <v>96.008189</v>
      </c>
      <c r="N66">
        <f t="shared" si="95"/>
        <v>67.945454</v>
      </c>
      <c r="O66">
        <f t="shared" si="96"/>
        <v>40.940611</v>
      </c>
      <c r="Q66">
        <f t="shared" si="97"/>
        <v>1975.355</v>
      </c>
      <c r="R66">
        <f t="shared" si="97"/>
        <v>1979.8269</v>
      </c>
      <c r="S66">
        <f t="shared" si="98"/>
        <v>74.676219</v>
      </c>
      <c r="T66">
        <f t="shared" si="99"/>
        <v>79.17994</v>
      </c>
      <c r="V66" s="7">
        <v>963.60322</v>
      </c>
      <c r="X66" s="2">
        <f t="shared" si="100"/>
        <v>-895.6577659999999</v>
      </c>
      <c r="Y66" s="2">
        <f t="shared" si="101"/>
        <v>-922.662609</v>
      </c>
      <c r="Z66" s="2">
        <f t="shared" si="102"/>
        <v>1038.279439</v>
      </c>
      <c r="AA66" s="2">
        <f t="shared" si="103"/>
        <v>1042.78316</v>
      </c>
      <c r="AC66">
        <f t="shared" si="104"/>
        <v>19.444187499999938</v>
      </c>
      <c r="AD66">
        <f t="shared" si="105"/>
        <v>16.389700500000036</v>
      </c>
      <c r="AH66">
        <f t="shared" si="106"/>
        <v>-29.284289979999926</v>
      </c>
      <c r="AI66">
        <f t="shared" si="106"/>
        <v>-29.44355185900008</v>
      </c>
      <c r="AJ66">
        <f t="shared" si="107"/>
        <v>-35.641206000000125</v>
      </c>
      <c r="AK66">
        <f t="shared" si="107"/>
        <v>-35.748013900000046</v>
      </c>
      <c r="AM66">
        <v>945</v>
      </c>
      <c r="AN66">
        <v>-1042.8</v>
      </c>
      <c r="AO66">
        <v>84.7</v>
      </c>
      <c r="AP66">
        <v>-850.9</v>
      </c>
      <c r="AQ66">
        <v>-14.8</v>
      </c>
      <c r="AS66">
        <v>-945</v>
      </c>
      <c r="AT66">
        <v>-83.9</v>
      </c>
      <c r="AU66">
        <v>1016.4</v>
      </c>
      <c r="AV66">
        <v>103.6</v>
      </c>
      <c r="AW66">
        <v>920.4</v>
      </c>
    </row>
    <row r="67" spans="1:27" ht="16.5">
      <c r="A67" s="1"/>
      <c r="B67" s="13"/>
      <c r="C67" s="13"/>
      <c r="G67" s="13"/>
      <c r="H67" s="13"/>
      <c r="V67" s="7"/>
      <c r="X67" s="2"/>
      <c r="Y67" s="2"/>
      <c r="Z67" s="2"/>
      <c r="AA67" s="2"/>
    </row>
    <row r="68" spans="1:27" ht="16.5">
      <c r="A68" s="1"/>
      <c r="B68" s="13"/>
      <c r="C68" s="13"/>
      <c r="G68" s="13"/>
      <c r="H68" s="13"/>
      <c r="V68" s="7"/>
      <c r="X68" s="2"/>
      <c r="Y68" s="2"/>
      <c r="Z68" s="2"/>
      <c r="AA68" s="2"/>
    </row>
    <row r="69" spans="1:27" ht="16.5">
      <c r="A69" s="1"/>
      <c r="B69" s="13"/>
      <c r="C69" s="13"/>
      <c r="G69" s="13"/>
      <c r="H69" s="13"/>
      <c r="V69" s="7"/>
      <c r="X69" s="2"/>
      <c r="Y69" s="2"/>
      <c r="Z69" s="2"/>
      <c r="AA69" s="2"/>
    </row>
    <row r="70" spans="1:27" ht="16.5">
      <c r="A70" s="1"/>
      <c r="B70" s="13"/>
      <c r="C70" s="13"/>
      <c r="G70" s="13"/>
      <c r="H70" s="13"/>
      <c r="V70" s="7"/>
      <c r="X70" s="2"/>
      <c r="Y70" s="2"/>
      <c r="Z70" s="2"/>
      <c r="AA70" s="2"/>
    </row>
    <row r="71" spans="1:4" ht="16.5">
      <c r="A71" t="s">
        <v>90</v>
      </c>
      <c r="B71" t="s">
        <v>149</v>
      </c>
      <c r="D71" t="s">
        <v>94</v>
      </c>
    </row>
    <row r="72" spans="1:7" ht="16.5">
      <c r="A72" s="1"/>
      <c r="B72" t="s">
        <v>91</v>
      </c>
      <c r="C72" t="s">
        <v>92</v>
      </c>
      <c r="D72" t="s">
        <v>93</v>
      </c>
      <c r="E72" t="s">
        <v>89</v>
      </c>
      <c r="F72" t="s">
        <v>93</v>
      </c>
      <c r="G72" t="s">
        <v>89</v>
      </c>
    </row>
    <row r="73" spans="1:7" ht="16.5">
      <c r="A73" s="1">
        <v>39143</v>
      </c>
      <c r="B73">
        <v>36.1075</v>
      </c>
      <c r="C73">
        <v>21.6099</v>
      </c>
      <c r="D73">
        <v>-0.4073</v>
      </c>
      <c r="E73">
        <v>2.2545</v>
      </c>
      <c r="F73">
        <f aca="true" t="shared" si="108" ref="F73:F86">(B73+D73)*(-1)</f>
        <v>-35.7002</v>
      </c>
      <c r="G73">
        <f aca="true" t="shared" si="109" ref="G73:G86">(C73+E73)*(-1)</f>
        <v>-23.8644</v>
      </c>
    </row>
    <row r="74" spans="1:7" ht="16.5">
      <c r="A74" s="1">
        <v>39200</v>
      </c>
      <c r="B74">
        <v>35.9401</v>
      </c>
      <c r="C74">
        <v>23.6457</v>
      </c>
      <c r="D74">
        <v>-0.1935</v>
      </c>
      <c r="E74">
        <v>0.2462</v>
      </c>
      <c r="F74">
        <f t="shared" si="108"/>
        <v>-35.7466</v>
      </c>
      <c r="G74">
        <f t="shared" si="109"/>
        <v>-23.891900000000003</v>
      </c>
    </row>
    <row r="75" spans="1:7" ht="16.5">
      <c r="A75" s="1">
        <v>39426</v>
      </c>
      <c r="B75">
        <v>38.075</v>
      </c>
      <c r="C75">
        <v>23.8022</v>
      </c>
      <c r="D75">
        <v>-0.7535</v>
      </c>
      <c r="E75">
        <v>1.5557</v>
      </c>
      <c r="F75">
        <f t="shared" si="108"/>
        <v>-37.3215</v>
      </c>
      <c r="G75">
        <f t="shared" si="109"/>
        <v>-25.3579</v>
      </c>
    </row>
    <row r="76" spans="1:7" ht="16.5">
      <c r="A76" s="1">
        <v>39481</v>
      </c>
      <c r="B76">
        <v>37.2753</v>
      </c>
      <c r="C76">
        <v>25.2251</v>
      </c>
      <c r="D76">
        <v>0.0064</v>
      </c>
      <c r="E76">
        <v>1.441</v>
      </c>
      <c r="F76">
        <f t="shared" si="108"/>
        <v>-37.2817</v>
      </c>
      <c r="G76">
        <f t="shared" si="109"/>
        <v>-26.6661</v>
      </c>
    </row>
    <row r="77" spans="1:7" ht="16.5">
      <c r="A77" s="1">
        <v>40178</v>
      </c>
      <c r="B77">
        <v>39.06</v>
      </c>
      <c r="C77">
        <v>25.46</v>
      </c>
      <c r="D77">
        <v>0.02</v>
      </c>
      <c r="E77">
        <v>1.79</v>
      </c>
      <c r="F77">
        <f t="shared" si="108"/>
        <v>-39.080000000000005</v>
      </c>
      <c r="G77">
        <f t="shared" si="109"/>
        <v>-27.25</v>
      </c>
    </row>
    <row r="78" spans="1:7" ht="16.5">
      <c r="A78" s="1">
        <v>40189</v>
      </c>
      <c r="B78">
        <v>39.13</v>
      </c>
      <c r="C78">
        <v>25.39</v>
      </c>
      <c r="D78">
        <v>-1.57</v>
      </c>
      <c r="E78">
        <v>1.19</v>
      </c>
      <c r="F78">
        <f t="shared" si="108"/>
        <v>-37.56</v>
      </c>
      <c r="G78">
        <f t="shared" si="109"/>
        <v>-26.580000000000002</v>
      </c>
    </row>
    <row r="79" spans="1:7" ht="16.5">
      <c r="A79" s="1">
        <v>40202</v>
      </c>
      <c r="B79">
        <v>39.2275</v>
      </c>
      <c r="C79">
        <v>25.4311</v>
      </c>
      <c r="D79">
        <v>-1.59</v>
      </c>
      <c r="E79">
        <v>1.13</v>
      </c>
      <c r="F79">
        <f t="shared" si="108"/>
        <v>-37.637499999999996</v>
      </c>
      <c r="G79">
        <f t="shared" si="109"/>
        <v>-26.5611</v>
      </c>
    </row>
    <row r="80" spans="1:7" ht="16.5">
      <c r="A80" s="1">
        <v>40214</v>
      </c>
      <c r="B80">
        <v>39.47</v>
      </c>
      <c r="C80">
        <v>25.8655</v>
      </c>
      <c r="D80">
        <v>-2.16</v>
      </c>
      <c r="E80">
        <v>1.3</v>
      </c>
      <c r="F80">
        <f t="shared" si="108"/>
        <v>-37.31</v>
      </c>
      <c r="G80">
        <f t="shared" si="109"/>
        <v>-27.1655</v>
      </c>
    </row>
    <row r="81" spans="1:7" ht="16.5">
      <c r="A81" s="1">
        <v>40239</v>
      </c>
      <c r="B81">
        <v>39.6352</v>
      </c>
      <c r="C81">
        <v>26.9317</v>
      </c>
      <c r="D81">
        <v>-2.95</v>
      </c>
      <c r="E81">
        <v>0.35</v>
      </c>
      <c r="F81">
        <f t="shared" si="108"/>
        <v>-36.685199999999995</v>
      </c>
      <c r="G81">
        <f t="shared" si="109"/>
        <v>-27.2817</v>
      </c>
    </row>
    <row r="82" spans="1:7" ht="16.5">
      <c r="A82" s="1">
        <v>40251</v>
      </c>
      <c r="D82">
        <v>-1.81</v>
      </c>
      <c r="E82">
        <v>-0.24</v>
      </c>
      <c r="F82">
        <f t="shared" si="108"/>
        <v>1.81</v>
      </c>
      <c r="G82">
        <f t="shared" si="109"/>
        <v>0.24</v>
      </c>
    </row>
    <row r="83" spans="1:7" ht="16.5">
      <c r="A83" s="1">
        <v>40270</v>
      </c>
      <c r="B83">
        <v>36.2991</v>
      </c>
      <c r="C83">
        <v>27.8311</v>
      </c>
      <c r="D83">
        <v>-2.03</v>
      </c>
      <c r="E83">
        <v>0.68</v>
      </c>
      <c r="F83">
        <f t="shared" si="108"/>
        <v>-34.2691</v>
      </c>
      <c r="G83">
        <f t="shared" si="109"/>
        <v>-28.5111</v>
      </c>
    </row>
    <row r="84" spans="1:7" ht="16.5">
      <c r="A84" s="1">
        <v>40274</v>
      </c>
      <c r="B84">
        <v>35.5701</v>
      </c>
      <c r="C84">
        <v>27.696</v>
      </c>
      <c r="D84">
        <v>-2.02</v>
      </c>
      <c r="E84">
        <v>-1.08</v>
      </c>
      <c r="F84">
        <f t="shared" si="108"/>
        <v>-33.55009999999999</v>
      </c>
      <c r="G84">
        <f t="shared" si="109"/>
        <v>-26.616</v>
      </c>
    </row>
    <row r="85" spans="1:7" ht="16.5">
      <c r="A85" s="1">
        <v>40276</v>
      </c>
      <c r="B85">
        <v>35.3019</v>
      </c>
      <c r="C85">
        <v>27.5848</v>
      </c>
      <c r="D85">
        <v>-0.36</v>
      </c>
      <c r="E85">
        <v>-0.25</v>
      </c>
      <c r="F85">
        <f t="shared" si="108"/>
        <v>-34.941900000000004</v>
      </c>
      <c r="G85">
        <f t="shared" si="109"/>
        <v>-27.3348</v>
      </c>
    </row>
    <row r="86" spans="6:7" ht="16.5">
      <c r="F86">
        <f t="shared" si="108"/>
        <v>0</v>
      </c>
      <c r="G86">
        <f t="shared" si="109"/>
        <v>0</v>
      </c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ISAS/JAXA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清水 敏文</cp:lastModifiedBy>
  <cp:lastPrinted>2011-02-16T07:53:47Z</cp:lastPrinted>
  <dcterms:created xsi:type="dcterms:W3CDTF">2007-04-04T05:33:19Z</dcterms:created>
  <dcterms:modified xsi:type="dcterms:W3CDTF">2015-11-18T01:36:10Z</dcterms:modified>
  <cp:category/>
  <cp:version/>
  <cp:contentType/>
  <cp:contentStatus/>
</cp:coreProperties>
</file>